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4355" windowHeight="6945"/>
  </bookViews>
  <sheets>
    <sheet name="Net Assets" sheetId="5" r:id="rId1"/>
    <sheet name="Rev &amp; Exp" sheetId="6" r:id="rId2"/>
    <sheet name="CashFlowDIRECT" sheetId="8" r:id="rId3"/>
    <sheet name="CF Worksheet" sheetId="7" r:id="rId4"/>
    <sheet name="PT" sheetId="3" r:id="rId5"/>
    <sheet name="Trial Balance" sheetId="1" r:id="rId6"/>
  </sheets>
  <externalReferences>
    <externalReference r:id="rId7"/>
    <externalReference r:id="rId8"/>
    <externalReference r:id="rId9"/>
    <externalReference r:id="rId10"/>
  </externalReferences>
  <definedNames>
    <definedName name="_Fill" hidden="1">#REF!</definedName>
    <definedName name="_xlnm._FilterDatabase" localSheetId="1" hidden="1">'Rev &amp; Exp'!$A$21:$F$51</definedName>
    <definedName name="_xlnm._FilterDatabase" localSheetId="5" hidden="1">'Trial Balance'!$A$1:$AB$289</definedName>
    <definedName name="a">'[1]Bal Sheet'!#REF!</definedName>
    <definedName name="ARA_Threshold">'[1]Bal Sheet'!#REF!</definedName>
    <definedName name="ARP_Threshold">'[1]Bal Sheet'!#REF!</definedName>
    <definedName name="AS2DocOpenMode" hidden="1">"AS2DocumentEdit"</definedName>
    <definedName name="CY_Common_Equity">'[1]Bal Sheet'!#REF!</definedName>
    <definedName name="CY_Depreciation">'[1]Income Statement'!#REF!</definedName>
    <definedName name="CY_Intangible_Assets">'[1]Bal Sheet'!#REF!</definedName>
    <definedName name="CY_Interest_Expense">'[1]Income Statement'!#REF!</definedName>
    <definedName name="CY_LT_Debt">'[1]Bal Sheet'!#REF!</definedName>
    <definedName name="CY_Market_Value_of_Equity">'[1]Income Statement'!#REF!</definedName>
    <definedName name="CY_Marketable_Sec">'[1]Bal Sheet'!#REF!</definedName>
    <definedName name="CY_Other">'[1]Income Statement'!#REF!</definedName>
    <definedName name="CY_Selling">'[1]Income Statement'!#REF!</definedName>
    <definedName name="CY_Tangible_Net_Worth">'[1]Income Statement'!#REF!</definedName>
    <definedName name="page19" localSheetId="1">'[2]gpfs - balance sheet'!#REF!</definedName>
    <definedName name="page19">'[2]gpfs - balance sheet'!#REF!</definedName>
    <definedName name="page81">#REF!</definedName>
    <definedName name="_xlnm.Print_Area" localSheetId="2">CashFlowDIRECT!$A$1:$G$57</definedName>
    <definedName name="_xlnm.Print_Area" localSheetId="3">'CF Worksheet'!$A$1:$W$79</definedName>
    <definedName name="_xlnm.Print_Area" localSheetId="0">'Net Assets'!$A$1:$F$36</definedName>
    <definedName name="_xlnm.Print_Area" localSheetId="1">'Rev &amp; Exp'!$C$1:$F$61</definedName>
    <definedName name="PY_Common_Equity">'[1]Bal Sheet'!#REF!</definedName>
    <definedName name="PY_Depreciation">'[1]Income Statement'!#REF!</definedName>
    <definedName name="PY_Intangible_Assets">'[1]Bal Sheet'!#REF!</definedName>
    <definedName name="PY_Interest_Expense">'[1]Income Statement'!#REF!</definedName>
    <definedName name="PY_LT_Debt">'[1]Bal Sheet'!#REF!</definedName>
    <definedName name="PY_Market_Value_of_Equity">'[1]Income Statement'!#REF!</definedName>
    <definedName name="PY_Marketable_Sec">'[1]Bal Sheet'!#REF!</definedName>
    <definedName name="PY_Other_Exp">'[1]Income Statement'!#REF!</definedName>
    <definedName name="PY_Selling">'[1]Income Statement'!#REF!</definedName>
    <definedName name="PY_Tangible_Net_Worth">'[1]Income Statement'!#REF!</definedName>
    <definedName name="PY2_Common_Equity">'[1]Bal Sheet'!#REF!</definedName>
    <definedName name="PY2_Depreciation">'[1]Income Statement'!#REF!</definedName>
    <definedName name="PY2_Intangible_Assets">'[1]Bal Sheet'!#REF!</definedName>
    <definedName name="PY2_Interest_Expense">'[1]Income Statement'!#REF!</definedName>
    <definedName name="PY2_LT_Debt">'[1]Bal Sheet'!#REF!</definedName>
    <definedName name="PY2_Marketable_Sec">'[1]Bal Sheet'!#REF!</definedName>
    <definedName name="PY2_Other_Exp.">'[1]Income Statement'!#REF!</definedName>
    <definedName name="PY2_Selling">'[1]Income Statement'!#REF!</definedName>
    <definedName name="PY2_Tangible_Net_Worth">'[1]Income Statement'!#REF!</definedName>
    <definedName name="Tickmark_a">#REF!</definedName>
    <definedName name="Tickmark_b">#REF!</definedName>
    <definedName name="Tickmark_c">#REF!</definedName>
    <definedName name="Tickmark_d">#REF!</definedName>
    <definedName name="Tickmark_e">#REF!</definedName>
    <definedName name="Tickmark_f">#REF!</definedName>
    <definedName name="Tickmark_g">#REF!</definedName>
    <definedName name="Tickmark_h">#REF!</definedName>
    <definedName name="Tickmark_i">#REF!</definedName>
    <definedName name="Tickmark_j">#REF!</definedName>
    <definedName name="Tickmark_k">#REF!</definedName>
    <definedName name="Tickmark_l">#REF!</definedName>
    <definedName name="Tickmark_m">#REF!</definedName>
    <definedName name="Tickmark_n">#REF!</definedName>
    <definedName name="Tickmark_o">#REF!</definedName>
    <definedName name="Tickmark_p">#REF!</definedName>
    <definedName name="Tickmark_q">#REF!</definedName>
    <definedName name="Tickmark_r">#REF!</definedName>
    <definedName name="Tickmark_s">#REF!</definedName>
    <definedName name="Tickmark_t">#REF!</definedName>
    <definedName name="Tickmark_u">#REF!</definedName>
    <definedName name="Tickmark_v">#REF!</definedName>
    <definedName name="Tickmark_w">#REF!</definedName>
    <definedName name="Tickmark_x">#REF!</definedName>
    <definedName name="Tickmark_y">#REF!</definedName>
    <definedName name="Tickmark_z">#REF!</definedName>
  </definedNames>
  <calcPr calcId="145621"/>
  <pivotCaches>
    <pivotCache cacheId="0" r:id="rId11"/>
  </pivotCaches>
</workbook>
</file>

<file path=xl/calcChain.xml><?xml version="1.0" encoding="utf-8"?>
<calcChain xmlns="http://schemas.openxmlformats.org/spreadsheetml/2006/main">
  <c r="M3" i="1" l="1"/>
  <c r="M4" i="1"/>
  <c r="M5" i="1"/>
  <c r="M6" i="1"/>
  <c r="M2" i="1"/>
  <c r="M42" i="1" l="1"/>
  <c r="M43" i="1"/>
  <c r="M44" i="1"/>
  <c r="M46" i="1"/>
  <c r="M52" i="1"/>
  <c r="M54" i="1"/>
  <c r="M56" i="1"/>
  <c r="M57" i="1"/>
  <c r="M58" i="1"/>
  <c r="M60" i="1"/>
  <c r="M61" i="1"/>
  <c r="M62" i="1"/>
  <c r="M63" i="1"/>
  <c r="M65" i="1"/>
  <c r="M66" i="1"/>
  <c r="M67" i="1"/>
  <c r="M68" i="1"/>
  <c r="M75" i="1"/>
  <c r="M78" i="1"/>
  <c r="M84" i="1"/>
  <c r="M88" i="1"/>
  <c r="M94" i="1"/>
  <c r="M97" i="1"/>
  <c r="M103" i="1"/>
  <c r="M106" i="1"/>
  <c r="M112" i="1"/>
  <c r="M115" i="1"/>
  <c r="M119" i="1"/>
  <c r="M122" i="1"/>
  <c r="M125" i="1"/>
  <c r="M131" i="1"/>
  <c r="M134" i="1"/>
  <c r="M140" i="1"/>
  <c r="M143" i="1"/>
  <c r="M149" i="1"/>
  <c r="M153" i="1"/>
  <c r="M160" i="1"/>
  <c r="M164" i="1"/>
  <c r="M168" i="1"/>
  <c r="M179" i="1"/>
  <c r="M182" i="1"/>
  <c r="M187" i="1"/>
  <c r="M192" i="1"/>
  <c r="M196" i="1"/>
  <c r="M203" i="1"/>
  <c r="M208" i="1"/>
  <c r="M221" i="1"/>
  <c r="M225" i="1"/>
  <c r="M232" i="1"/>
  <c r="M233" i="1"/>
  <c r="M243" i="1"/>
  <c r="M245" i="1"/>
  <c r="M249" i="1"/>
  <c r="M250" i="1"/>
  <c r="M252" i="1"/>
  <c r="M254" i="1"/>
  <c r="M260" i="1"/>
  <c r="M262" i="1"/>
  <c r="M264" i="1"/>
  <c r="M267" i="1"/>
  <c r="M268" i="1"/>
  <c r="M270" i="1"/>
  <c r="M276" i="1"/>
  <c r="M277" i="1"/>
  <c r="M278" i="1"/>
  <c r="M280" i="1"/>
  <c r="M281" i="1"/>
  <c r="M283" i="1"/>
  <c r="L285" i="1" l="1"/>
  <c r="M285" i="1" s="1"/>
  <c r="L287" i="1"/>
  <c r="M287" i="1" s="1"/>
  <c r="L288" i="1"/>
  <c r="M288" i="1" s="1"/>
  <c r="L286" i="1"/>
  <c r="M286" i="1" s="1"/>
  <c r="L3" i="1"/>
  <c r="L4" i="1"/>
  <c r="L5" i="1"/>
  <c r="L6" i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284" i="1"/>
  <c r="M284" i="1" s="1"/>
  <c r="L37" i="1"/>
  <c r="M37" i="1" s="1"/>
  <c r="L38" i="1"/>
  <c r="M38" i="1" s="1"/>
  <c r="L39" i="1"/>
  <c r="M39" i="1" s="1"/>
  <c r="L40" i="1"/>
  <c r="M40" i="1" s="1"/>
  <c r="L41" i="1"/>
  <c r="M41" i="1" s="1"/>
  <c r="L45" i="1"/>
  <c r="M45" i="1" s="1"/>
  <c r="L47" i="1"/>
  <c r="M47" i="1" s="1"/>
  <c r="L48" i="1"/>
  <c r="M48" i="1" s="1"/>
  <c r="L49" i="1"/>
  <c r="M49" i="1" s="1"/>
  <c r="L50" i="1"/>
  <c r="M50" i="1" s="1"/>
  <c r="L51" i="1"/>
  <c r="M51" i="1" s="1"/>
  <c r="L53" i="1"/>
  <c r="M53" i="1" s="1"/>
  <c r="L55" i="1"/>
  <c r="M55" i="1" s="1"/>
  <c r="L59" i="1"/>
  <c r="M59" i="1" s="1"/>
  <c r="L64" i="1"/>
  <c r="M64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6" i="1"/>
  <c r="M76" i="1" s="1"/>
  <c r="L77" i="1"/>
  <c r="M77" i="1" s="1"/>
  <c r="L79" i="1"/>
  <c r="M79" i="1" s="1"/>
  <c r="L80" i="1"/>
  <c r="M80" i="1" s="1"/>
  <c r="L81" i="1"/>
  <c r="M81" i="1" s="1"/>
  <c r="L82" i="1"/>
  <c r="M82" i="1" s="1"/>
  <c r="L83" i="1"/>
  <c r="M83" i="1" s="1"/>
  <c r="L85" i="1"/>
  <c r="M85" i="1" s="1"/>
  <c r="L86" i="1"/>
  <c r="M86" i="1" s="1"/>
  <c r="L87" i="1"/>
  <c r="M87" i="1" s="1"/>
  <c r="L89" i="1"/>
  <c r="M89" i="1" s="1"/>
  <c r="L90" i="1"/>
  <c r="M90" i="1" s="1"/>
  <c r="L91" i="1"/>
  <c r="M91" i="1" s="1"/>
  <c r="L92" i="1"/>
  <c r="M92" i="1" s="1"/>
  <c r="L93" i="1"/>
  <c r="M93" i="1" s="1"/>
  <c r="L95" i="1"/>
  <c r="M95" i="1" s="1"/>
  <c r="L96" i="1"/>
  <c r="M96" i="1" s="1"/>
  <c r="L98" i="1"/>
  <c r="M98" i="1" s="1"/>
  <c r="L99" i="1"/>
  <c r="M99" i="1" s="1"/>
  <c r="L100" i="1"/>
  <c r="M100" i="1" s="1"/>
  <c r="L101" i="1"/>
  <c r="M101" i="1" s="1"/>
  <c r="L102" i="1"/>
  <c r="M102" i="1" s="1"/>
  <c r="L104" i="1"/>
  <c r="M104" i="1" s="1"/>
  <c r="L105" i="1"/>
  <c r="M105" i="1" s="1"/>
  <c r="L107" i="1"/>
  <c r="M107" i="1" s="1"/>
  <c r="L108" i="1"/>
  <c r="M108" i="1" s="1"/>
  <c r="L109" i="1"/>
  <c r="M109" i="1" s="1"/>
  <c r="L110" i="1"/>
  <c r="M110" i="1" s="1"/>
  <c r="L111" i="1"/>
  <c r="M111" i="1" s="1"/>
  <c r="L113" i="1"/>
  <c r="M113" i="1" s="1"/>
  <c r="L114" i="1"/>
  <c r="M114" i="1" s="1"/>
  <c r="L116" i="1"/>
  <c r="M116" i="1" s="1"/>
  <c r="L117" i="1"/>
  <c r="M117" i="1" s="1"/>
  <c r="L118" i="1"/>
  <c r="M118" i="1" s="1"/>
  <c r="L120" i="1"/>
  <c r="M120" i="1" s="1"/>
  <c r="L121" i="1"/>
  <c r="M121" i="1" s="1"/>
  <c r="L123" i="1"/>
  <c r="M123" i="1" s="1"/>
  <c r="L124" i="1"/>
  <c r="M124" i="1" s="1"/>
  <c r="L126" i="1"/>
  <c r="M126" i="1" s="1"/>
  <c r="L127" i="1"/>
  <c r="M127" i="1" s="1"/>
  <c r="L128" i="1"/>
  <c r="M128" i="1" s="1"/>
  <c r="L129" i="1"/>
  <c r="M129" i="1" s="1"/>
  <c r="L130" i="1"/>
  <c r="M130" i="1" s="1"/>
  <c r="L132" i="1"/>
  <c r="M132" i="1" s="1"/>
  <c r="L133" i="1"/>
  <c r="M133" i="1" s="1"/>
  <c r="L135" i="1"/>
  <c r="M135" i="1" s="1"/>
  <c r="L136" i="1"/>
  <c r="M136" i="1" s="1"/>
  <c r="L137" i="1"/>
  <c r="M137" i="1" s="1"/>
  <c r="L138" i="1"/>
  <c r="M138" i="1" s="1"/>
  <c r="L139" i="1"/>
  <c r="M139" i="1" s="1"/>
  <c r="L141" i="1"/>
  <c r="M141" i="1" s="1"/>
  <c r="L142" i="1"/>
  <c r="M142" i="1" s="1"/>
  <c r="L144" i="1"/>
  <c r="M144" i="1" s="1"/>
  <c r="L145" i="1"/>
  <c r="M145" i="1" s="1"/>
  <c r="L146" i="1"/>
  <c r="M146" i="1" s="1"/>
  <c r="L147" i="1"/>
  <c r="M147" i="1" s="1"/>
  <c r="L148" i="1"/>
  <c r="M148" i="1" s="1"/>
  <c r="L150" i="1"/>
  <c r="M150" i="1" s="1"/>
  <c r="L151" i="1"/>
  <c r="M151" i="1" s="1"/>
  <c r="L152" i="1"/>
  <c r="M152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1" i="1"/>
  <c r="M161" i="1" s="1"/>
  <c r="L162" i="1"/>
  <c r="M162" i="1" s="1"/>
  <c r="L163" i="1"/>
  <c r="M163" i="1" s="1"/>
  <c r="L165" i="1"/>
  <c r="M165" i="1" s="1"/>
  <c r="L166" i="1"/>
  <c r="M166" i="1" s="1"/>
  <c r="L167" i="1"/>
  <c r="M167" i="1" s="1"/>
  <c r="L169" i="1"/>
  <c r="M169" i="1" s="1"/>
  <c r="L170" i="1"/>
  <c r="M170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80" i="1"/>
  <c r="M180" i="1" s="1"/>
  <c r="L181" i="1"/>
  <c r="M181" i="1" s="1"/>
  <c r="L183" i="1"/>
  <c r="M183" i="1" s="1"/>
  <c r="L184" i="1"/>
  <c r="M184" i="1" s="1"/>
  <c r="L185" i="1"/>
  <c r="M185" i="1" s="1"/>
  <c r="L186" i="1"/>
  <c r="M186" i="1" s="1"/>
  <c r="L188" i="1"/>
  <c r="M188" i="1" s="1"/>
  <c r="L189" i="1"/>
  <c r="M189" i="1" s="1"/>
  <c r="L190" i="1"/>
  <c r="M190" i="1" s="1"/>
  <c r="L191" i="1"/>
  <c r="M191" i="1" s="1"/>
  <c r="L193" i="1"/>
  <c r="M193" i="1" s="1"/>
  <c r="L194" i="1"/>
  <c r="M194" i="1" s="1"/>
  <c r="L195" i="1"/>
  <c r="M195" i="1" s="1"/>
  <c r="L197" i="1"/>
  <c r="M197" i="1" s="1"/>
  <c r="L198" i="1"/>
  <c r="M198" i="1" s="1"/>
  <c r="L199" i="1"/>
  <c r="M199" i="1" s="1"/>
  <c r="L200" i="1"/>
  <c r="M200" i="1" s="1"/>
  <c r="L201" i="1"/>
  <c r="M201" i="1" s="1"/>
  <c r="L202" i="1"/>
  <c r="M202" i="1" s="1"/>
  <c r="L204" i="1"/>
  <c r="M204" i="1" s="1"/>
  <c r="L205" i="1"/>
  <c r="M205" i="1" s="1"/>
  <c r="L206" i="1"/>
  <c r="M206" i="1" s="1"/>
  <c r="L207" i="1"/>
  <c r="M207" i="1" s="1"/>
  <c r="L209" i="1"/>
  <c r="M209" i="1" s="1"/>
  <c r="L210" i="1"/>
  <c r="M210" i="1" s="1"/>
  <c r="L211" i="1"/>
  <c r="M211" i="1" s="1"/>
  <c r="L212" i="1"/>
  <c r="M212" i="1" s="1"/>
  <c r="L213" i="1"/>
  <c r="M213" i="1" s="1"/>
  <c r="L214" i="1"/>
  <c r="M214" i="1" s="1"/>
  <c r="L215" i="1"/>
  <c r="M215" i="1" s="1"/>
  <c r="L216" i="1"/>
  <c r="M216" i="1" s="1"/>
  <c r="L217" i="1"/>
  <c r="M217" i="1" s="1"/>
  <c r="L218" i="1"/>
  <c r="M218" i="1" s="1"/>
  <c r="L219" i="1"/>
  <c r="M219" i="1" s="1"/>
  <c r="L220" i="1"/>
  <c r="M220" i="1" s="1"/>
  <c r="L222" i="1"/>
  <c r="M222" i="1" s="1"/>
  <c r="L223" i="1"/>
  <c r="M223" i="1" s="1"/>
  <c r="L224" i="1"/>
  <c r="M224" i="1" s="1"/>
  <c r="L226" i="1"/>
  <c r="M226" i="1" s="1"/>
  <c r="L227" i="1"/>
  <c r="M227" i="1" s="1"/>
  <c r="L228" i="1"/>
  <c r="M228" i="1" s="1"/>
  <c r="L229" i="1"/>
  <c r="M229" i="1" s="1"/>
  <c r="L230" i="1"/>
  <c r="M230" i="1" s="1"/>
  <c r="L231" i="1"/>
  <c r="M231" i="1" s="1"/>
  <c r="L234" i="1"/>
  <c r="M234" i="1" s="1"/>
  <c r="L235" i="1"/>
  <c r="M235" i="1" s="1"/>
  <c r="L236" i="1"/>
  <c r="M236" i="1" s="1"/>
  <c r="L237" i="1"/>
  <c r="M237" i="1" s="1"/>
  <c r="L238" i="1"/>
  <c r="M238" i="1" s="1"/>
  <c r="L239" i="1"/>
  <c r="M239" i="1" s="1"/>
  <c r="L240" i="1"/>
  <c r="M240" i="1" s="1"/>
  <c r="L241" i="1"/>
  <c r="M241" i="1" s="1"/>
  <c r="L242" i="1"/>
  <c r="M242" i="1" s="1"/>
  <c r="L244" i="1"/>
  <c r="M244" i="1" s="1"/>
  <c r="L246" i="1"/>
  <c r="M246" i="1" s="1"/>
  <c r="L247" i="1"/>
  <c r="M247" i="1" s="1"/>
  <c r="L248" i="1"/>
  <c r="M248" i="1" s="1"/>
  <c r="L251" i="1"/>
  <c r="M251" i="1" s="1"/>
  <c r="L253" i="1"/>
  <c r="M253" i="1" s="1"/>
  <c r="L255" i="1"/>
  <c r="M255" i="1" s="1"/>
  <c r="L256" i="1"/>
  <c r="M256" i="1" s="1"/>
  <c r="L257" i="1"/>
  <c r="M257" i="1" s="1"/>
  <c r="L258" i="1"/>
  <c r="M258" i="1" s="1"/>
  <c r="L259" i="1"/>
  <c r="M259" i="1" s="1"/>
  <c r="L261" i="1"/>
  <c r="M261" i="1" s="1"/>
  <c r="L263" i="1"/>
  <c r="M263" i="1" s="1"/>
  <c r="L265" i="1"/>
  <c r="M265" i="1" s="1"/>
  <c r="L266" i="1"/>
  <c r="M266" i="1" s="1"/>
  <c r="L269" i="1"/>
  <c r="M269" i="1" s="1"/>
  <c r="L271" i="1"/>
  <c r="M271" i="1" s="1"/>
  <c r="L272" i="1"/>
  <c r="M272" i="1" s="1"/>
  <c r="L273" i="1"/>
  <c r="M273" i="1" s="1"/>
  <c r="L274" i="1"/>
  <c r="M274" i="1" s="1"/>
  <c r="L275" i="1"/>
  <c r="M275" i="1" s="1"/>
  <c r="L279" i="1"/>
  <c r="M279" i="1" s="1"/>
  <c r="L282" i="1"/>
  <c r="M282" i="1" s="1"/>
  <c r="G17" i="3" l="1"/>
  <c r="F32" i="3"/>
  <c r="F7" i="3"/>
  <c r="F60" i="3"/>
  <c r="F8" i="3"/>
  <c r="F50" i="3"/>
  <c r="F35" i="3"/>
  <c r="F37" i="3"/>
  <c r="F10" i="3"/>
  <c r="F49" i="3"/>
  <c r="F25" i="3"/>
  <c r="F46" i="3"/>
  <c r="F48" i="3"/>
  <c r="F42" i="3"/>
  <c r="F58" i="3"/>
  <c r="F11" i="3"/>
  <c r="F52" i="3"/>
  <c r="F41" i="3"/>
  <c r="F16" i="3"/>
  <c r="F43" i="3"/>
  <c r="F28" i="3"/>
  <c r="F61" i="3"/>
  <c r="F53" i="3"/>
  <c r="F45" i="3"/>
  <c r="F22" i="3"/>
  <c r="F57" i="3"/>
  <c r="F33" i="3"/>
  <c r="F26" i="3"/>
  <c r="F20" i="3"/>
  <c r="F56" i="3"/>
  <c r="F47" i="3"/>
  <c r="F13" i="3"/>
  <c r="F51" i="3"/>
  <c r="F27" i="3"/>
  <c r="F9" i="3"/>
  <c r="F55" i="3"/>
  <c r="F6" i="3"/>
  <c r="F29" i="3"/>
  <c r="F31" i="3"/>
  <c r="F30" i="3"/>
  <c r="F44" i="3"/>
  <c r="F21" i="3"/>
  <c r="F24" i="3"/>
  <c r="F59" i="3"/>
  <c r="F38" i="3"/>
  <c r="F40" i="3"/>
  <c r="F23" i="3"/>
  <c r="F15" i="3"/>
  <c r="F5" i="3"/>
  <c r="F36" i="3"/>
  <c r="F39" i="3"/>
  <c r="F14" i="3"/>
  <c r="F54" i="3"/>
  <c r="G60" i="3" l="1"/>
  <c r="G54" i="3"/>
  <c r="G50" i="3"/>
  <c r="G48" i="3"/>
  <c r="G46" i="3"/>
  <c r="G44" i="3"/>
  <c r="G42" i="3"/>
  <c r="G40" i="3"/>
  <c r="G38" i="3"/>
  <c r="G33" i="3"/>
  <c r="G31" i="3"/>
  <c r="G29" i="3"/>
  <c r="G27" i="3"/>
  <c r="G25" i="3"/>
  <c r="G23" i="3"/>
  <c r="G21" i="3"/>
  <c r="G16" i="3"/>
  <c r="G14" i="3"/>
  <c r="G11" i="3"/>
  <c r="G9" i="3"/>
  <c r="G7" i="3"/>
  <c r="G56" i="3"/>
  <c r="G45" i="3"/>
  <c r="G58" i="3"/>
  <c r="G59" i="3"/>
  <c r="G57" i="3"/>
  <c r="G55" i="3"/>
  <c r="G53" i="3"/>
  <c r="G51" i="3"/>
  <c r="G49" i="3"/>
  <c r="G47" i="3"/>
  <c r="G43" i="3"/>
  <c r="G41" i="3"/>
  <c r="G39" i="3"/>
  <c r="G37" i="3"/>
  <c r="G35" i="3"/>
  <c r="G32" i="3"/>
  <c r="G30" i="3"/>
  <c r="G28" i="3"/>
  <c r="G26" i="3"/>
  <c r="G24" i="3"/>
  <c r="G22" i="3"/>
  <c r="G20" i="3"/>
  <c r="G15" i="3"/>
  <c r="G13" i="3"/>
  <c r="G10" i="3"/>
  <c r="G8" i="3"/>
  <c r="G6" i="3"/>
  <c r="G52" i="3"/>
  <c r="G36" i="3"/>
  <c r="G5" i="3"/>
  <c r="G61" i="3"/>
  <c r="I53" i="6"/>
  <c r="D24" i="5" l="1"/>
  <c r="E15" i="6"/>
  <c r="N31" i="8"/>
  <c r="E51" i="6" l="1"/>
  <c r="E50" i="6"/>
  <c r="E49" i="6"/>
  <c r="E48" i="6"/>
  <c r="I18" i="6"/>
  <c r="E72" i="7" l="1"/>
  <c r="E56" i="6"/>
  <c r="E41" i="6"/>
  <c r="E65" i="7" s="1"/>
  <c r="K65" i="7" s="1"/>
  <c r="E42" i="6"/>
  <c r="E66" i="7" s="1"/>
  <c r="K66" i="7" s="1"/>
  <c r="E46" i="6"/>
  <c r="E70" i="7" s="1"/>
  <c r="E39" i="6"/>
  <c r="E63" i="7" s="1"/>
  <c r="E43" i="6"/>
  <c r="E47" i="6"/>
  <c r="E71" i="7" s="1"/>
  <c r="E40" i="6"/>
  <c r="E64" i="7" s="1"/>
  <c r="K64" i="7" s="1"/>
  <c r="E44" i="6"/>
  <c r="E68" i="7" s="1"/>
  <c r="K68" i="7" s="1"/>
  <c r="E45" i="6"/>
  <c r="E69" i="7" s="1"/>
  <c r="K69" i="7" s="1"/>
  <c r="E8" i="6"/>
  <c r="D12" i="5"/>
  <c r="D13" i="5"/>
  <c r="F13" i="5" s="1"/>
  <c r="D14" i="5"/>
  <c r="F14" i="5" s="1"/>
  <c r="D15" i="5"/>
  <c r="F15" i="5" s="1"/>
  <c r="D17" i="5"/>
  <c r="F17" i="5" s="1"/>
  <c r="D25" i="5"/>
  <c r="F25" i="5" s="1"/>
  <c r="D26" i="5"/>
  <c r="F26" i="5" s="1"/>
  <c r="D27" i="5"/>
  <c r="F27" i="5" s="1"/>
  <c r="E10" i="6"/>
  <c r="E11" i="6"/>
  <c r="E14" i="6"/>
  <c r="E13" i="6"/>
  <c r="E12" i="6"/>
  <c r="E22" i="6"/>
  <c r="E23" i="6"/>
  <c r="E47" i="7" s="1"/>
  <c r="E24" i="6"/>
  <c r="E48" i="7" s="1"/>
  <c r="E25" i="6"/>
  <c r="E49" i="7" s="1"/>
  <c r="E26" i="6"/>
  <c r="E50" i="7" s="1"/>
  <c r="E27" i="6"/>
  <c r="E51" i="7" s="1"/>
  <c r="E28" i="6"/>
  <c r="E52" i="7" s="1"/>
  <c r="E29" i="6"/>
  <c r="E53" i="7" s="1"/>
  <c r="E30" i="6"/>
  <c r="E54" i="7" s="1"/>
  <c r="E31" i="6"/>
  <c r="E55" i="7" s="1"/>
  <c r="E32" i="6"/>
  <c r="E56" i="7" s="1"/>
  <c r="E33" i="6"/>
  <c r="E57" i="7" s="1"/>
  <c r="E34" i="6"/>
  <c r="E58" i="7" s="1"/>
  <c r="E35" i="6"/>
  <c r="E59" i="7" s="1"/>
  <c r="E36" i="6"/>
  <c r="E60" i="7" s="1"/>
  <c r="E37" i="6"/>
  <c r="E61" i="7" s="1"/>
  <c r="E38" i="6"/>
  <c r="E62" i="7" s="1"/>
  <c r="E9" i="6" l="1"/>
  <c r="G45" i="8"/>
  <c r="E67" i="7"/>
  <c r="U67" i="7" s="1"/>
  <c r="E41" i="7"/>
  <c r="E19" i="5"/>
  <c r="E11" i="5"/>
  <c r="G36" i="8" s="1"/>
  <c r="F22" i="6"/>
  <c r="F13" i="6"/>
  <c r="F18" i="6" s="1"/>
  <c r="E24" i="5"/>
  <c r="F24" i="5" s="1"/>
  <c r="F10" i="7"/>
  <c r="S76" i="7"/>
  <c r="H24" i="7"/>
  <c r="H23" i="7"/>
  <c r="H22" i="7"/>
  <c r="W22" i="7" s="1"/>
  <c r="F21" i="7"/>
  <c r="H20" i="7"/>
  <c r="F19" i="7"/>
  <c r="F18" i="7"/>
  <c r="H17" i="7"/>
  <c r="W17" i="7" s="1"/>
  <c r="W15" i="7"/>
  <c r="F13" i="7"/>
  <c r="H12" i="7"/>
  <c r="K12" i="7" s="1"/>
  <c r="F11" i="7"/>
  <c r="F8" i="7"/>
  <c r="E8" i="7"/>
  <c r="F7" i="7"/>
  <c r="E29" i="5" l="1"/>
  <c r="G19" i="8"/>
  <c r="E34" i="7"/>
  <c r="J34" i="7" s="1"/>
  <c r="E35" i="7"/>
  <c r="J35" i="7" s="1"/>
  <c r="D11" i="5"/>
  <c r="E9" i="7"/>
  <c r="E10" i="7"/>
  <c r="H10" i="7" s="1"/>
  <c r="J10" i="7" s="1"/>
  <c r="W10" i="7" s="1"/>
  <c r="E11" i="7"/>
  <c r="H11" i="7" s="1"/>
  <c r="E13" i="7"/>
  <c r="H13" i="7" s="1"/>
  <c r="U13" i="7" s="1"/>
  <c r="E18" i="7"/>
  <c r="H18" i="7" s="1"/>
  <c r="E21" i="7"/>
  <c r="H21" i="7" s="1"/>
  <c r="E19" i="7"/>
  <c r="H19" i="7" s="1"/>
  <c r="E32" i="7"/>
  <c r="E33" i="7"/>
  <c r="J33" i="7" s="1"/>
  <c r="E37" i="7"/>
  <c r="J37" i="7" s="1"/>
  <c r="E36" i="7"/>
  <c r="J36" i="7" s="1"/>
  <c r="E38" i="7"/>
  <c r="V38" i="7" s="1"/>
  <c r="V76" i="7" s="1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70" i="7"/>
  <c r="K71" i="7"/>
  <c r="T76" i="7"/>
  <c r="G23" i="8" s="1"/>
  <c r="H8" i="7"/>
  <c r="L8" i="7" s="1"/>
  <c r="L76" i="7" s="1"/>
  <c r="W77" i="7" s="1"/>
  <c r="F16" i="7"/>
  <c r="W12" i="7"/>
  <c r="F53" i="6"/>
  <c r="J22" i="6" s="1"/>
  <c r="F9" i="7"/>
  <c r="H38" i="8" l="1"/>
  <c r="F12" i="5"/>
  <c r="U76" i="7"/>
  <c r="G24" i="8" s="1"/>
  <c r="G26" i="8" s="1"/>
  <c r="J19" i="7"/>
  <c r="W19" i="7" s="1"/>
  <c r="G53" i="8"/>
  <c r="G30" i="8"/>
  <c r="G32" i="8" s="1"/>
  <c r="G46" i="8"/>
  <c r="E39" i="7"/>
  <c r="J39" i="7" s="1"/>
  <c r="K21" i="7"/>
  <c r="W21" i="7" s="1"/>
  <c r="G54" i="8"/>
  <c r="K11" i="7"/>
  <c r="W11" i="7" s="1"/>
  <c r="G50" i="8"/>
  <c r="E46" i="7"/>
  <c r="E53" i="6"/>
  <c r="J53" i="6" s="1"/>
  <c r="J32" i="7"/>
  <c r="M18" i="7"/>
  <c r="W18" i="7" s="1"/>
  <c r="G52" i="8"/>
  <c r="W8" i="7"/>
  <c r="D29" i="5"/>
  <c r="E16" i="7"/>
  <c r="H16" i="7" s="1"/>
  <c r="E7" i="7"/>
  <c r="D19" i="5"/>
  <c r="H9" i="7"/>
  <c r="G49" i="8" s="1"/>
  <c r="F55" i="6"/>
  <c r="F60" i="6" s="1"/>
  <c r="W13" i="7"/>
  <c r="F14" i="7"/>
  <c r="E18" i="6" l="1"/>
  <c r="E42" i="7"/>
  <c r="J9" i="7"/>
  <c r="J76" i="7" s="1"/>
  <c r="G6" i="8" s="1"/>
  <c r="M46" i="7"/>
  <c r="M76" i="7" s="1"/>
  <c r="E74" i="7"/>
  <c r="K16" i="7"/>
  <c r="K76" i="7" s="1"/>
  <c r="G7" i="8" s="1"/>
  <c r="G51" i="8"/>
  <c r="E33" i="5"/>
  <c r="E58" i="6"/>
  <c r="E14" i="7"/>
  <c r="H7" i="7"/>
  <c r="E55" i="6" l="1"/>
  <c r="E60" i="6" s="1"/>
  <c r="J18" i="6"/>
  <c r="E76" i="7"/>
  <c r="W9" i="7"/>
  <c r="G8" i="8"/>
  <c r="G10" i="8" s="1"/>
  <c r="W76" i="7"/>
  <c r="W78" i="7" s="1"/>
  <c r="W16" i="7"/>
  <c r="E35" i="5"/>
  <c r="E41" i="5"/>
  <c r="F25" i="7"/>
  <c r="F26" i="7" s="1"/>
  <c r="F27" i="7" s="1"/>
  <c r="W7" i="7"/>
  <c r="H14" i="7"/>
  <c r="E78" i="7" l="1"/>
  <c r="G42" i="8"/>
  <c r="G56" i="8" s="1"/>
  <c r="D33" i="5"/>
  <c r="F33" i="5" s="1"/>
  <c r="G34" i="8"/>
  <c r="G38" i="8" s="1"/>
  <c r="J38" i="8" s="1"/>
  <c r="H56" i="8" l="1"/>
  <c r="I56" i="8"/>
  <c r="D35" i="5"/>
  <c r="D41" i="5"/>
  <c r="D38" i="5"/>
  <c r="E25" i="7"/>
  <c r="E26" i="7" s="1"/>
  <c r="E27" i="7" s="1"/>
  <c r="L293" i="1"/>
  <c r="K293" i="1"/>
  <c r="H25" i="7" l="1"/>
  <c r="H26" i="7" s="1"/>
  <c r="H27" i="7" s="1"/>
  <c r="W27" i="7" s="1"/>
</calcChain>
</file>

<file path=xl/comments1.xml><?xml version="1.0" encoding="utf-8"?>
<comments xmlns="http://schemas.openxmlformats.org/spreadsheetml/2006/main">
  <authors>
    <author>Accounting Temp - 4</author>
  </authors>
  <commentList>
    <comment ref="D24" authorId="0">
      <text>
        <r>
          <rPr>
            <b/>
            <sz val="9"/>
            <color indexed="81"/>
            <rFont val="Tahoma"/>
            <family val="2"/>
          </rPr>
          <t xml:space="preserve">Accounting Temp
Plug for rounding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<sst xmlns="http://schemas.openxmlformats.org/spreadsheetml/2006/main" count="1188" uniqueCount="623">
  <si>
    <t>no</t>
  </si>
  <si>
    <t>type</t>
  </si>
  <si>
    <t>pro</t>
  </si>
  <si>
    <t>Class</t>
  </si>
  <si>
    <t>Account</t>
  </si>
  <si>
    <t>acct</t>
  </si>
  <si>
    <t>Description</t>
  </si>
  <si>
    <t>Cash and cash equivalents</t>
  </si>
  <si>
    <t>000-1101-000</t>
  </si>
  <si>
    <t>Cash - NSP</t>
  </si>
  <si>
    <t>000-1105-000</t>
  </si>
  <si>
    <t>Cash - Payroll</t>
  </si>
  <si>
    <t>000-1110-000</t>
  </si>
  <si>
    <t>Petty Cash</t>
  </si>
  <si>
    <t>000-1115-000</t>
  </si>
  <si>
    <t>cash - EDC General</t>
  </si>
  <si>
    <t>000-1119-000</t>
  </si>
  <si>
    <t>EDC Reserve Account</t>
  </si>
  <si>
    <t>Investments</t>
  </si>
  <si>
    <t>000-1120-000</t>
  </si>
  <si>
    <t>EDC Investments</t>
  </si>
  <si>
    <t>Prepaid expenses and other</t>
  </si>
  <si>
    <t>000-1175-000</t>
  </si>
  <si>
    <t>Prepaid Insurance</t>
  </si>
  <si>
    <t>000-1180-000</t>
  </si>
  <si>
    <t>Prepaid Expenses</t>
  </si>
  <si>
    <t>Accounts Receivable</t>
  </si>
  <si>
    <t>000-1200-000</t>
  </si>
  <si>
    <t>000-1201-000</t>
  </si>
  <si>
    <t>Accounts Receivable-Related Party</t>
  </si>
  <si>
    <t>000-1203-000</t>
  </si>
  <si>
    <t>Accounts Receivable - NSP</t>
  </si>
  <si>
    <t>000-1210-000</t>
  </si>
  <si>
    <t>Accrued Interest Receivable</t>
  </si>
  <si>
    <t>000-1500-000</t>
  </si>
  <si>
    <t>Furniture &amp; Fixtures</t>
  </si>
  <si>
    <t>000-1505-000</t>
  </si>
  <si>
    <t>Leasehold Improvements</t>
  </si>
  <si>
    <t>000-1510-000</t>
  </si>
  <si>
    <t>Computer Hardware</t>
  </si>
  <si>
    <t>000-1515-000</t>
  </si>
  <si>
    <t>Computer Software</t>
  </si>
  <si>
    <t>000-1520-000</t>
  </si>
  <si>
    <t>Additional Fixed Assets</t>
  </si>
  <si>
    <t>000-1610-000</t>
  </si>
  <si>
    <t>Accum. Depr. Comp. Hardware</t>
  </si>
  <si>
    <t>000-1620-000</t>
  </si>
  <si>
    <t>Accum. Depr. Comp. Software</t>
  </si>
  <si>
    <t>000-1630-000</t>
  </si>
  <si>
    <t>Accum. Depr. Furn. &amp; Fixtures</t>
  </si>
  <si>
    <t>000-1640-000</t>
  </si>
  <si>
    <t>Accum. Depr. Leasehold Improv.</t>
  </si>
  <si>
    <t>Accounts payable</t>
  </si>
  <si>
    <t>000-2000-000</t>
  </si>
  <si>
    <t>Accounts Payable</t>
  </si>
  <si>
    <t>Accrued expenses</t>
  </si>
  <si>
    <t>000-2003-000</t>
  </si>
  <si>
    <t>Accounts Payable - NSP</t>
  </si>
  <si>
    <t>000-2005-000</t>
  </si>
  <si>
    <t>Accrued Liabilities</t>
  </si>
  <si>
    <t>000-2006-000</t>
  </si>
  <si>
    <t>Accrued Payroll Expenses</t>
  </si>
  <si>
    <t>000-2080-000</t>
  </si>
  <si>
    <t>401K Contribution Withheld</t>
  </si>
  <si>
    <t>000-2085-000</t>
  </si>
  <si>
    <t>401K Employer Match Liability</t>
  </si>
  <si>
    <t>000-2100-000</t>
  </si>
  <si>
    <t>United Way Contr. Withheld</t>
  </si>
  <si>
    <t>000-2110-000</t>
  </si>
  <si>
    <t>Personal Leave Accrual</t>
  </si>
  <si>
    <t>000-2115-000</t>
  </si>
  <si>
    <t>Cafeteria Plan Liability</t>
  </si>
  <si>
    <t>Deferred Revenue</t>
  </si>
  <si>
    <t>000-2200-000</t>
  </si>
  <si>
    <t>Deferred Credit - Lease Incentive</t>
  </si>
  <si>
    <t>000-2250-000</t>
  </si>
  <si>
    <t>Fund Balance</t>
  </si>
  <si>
    <t>000-2900-000</t>
  </si>
  <si>
    <t>Business Development Revenue</t>
  </si>
  <si>
    <t>000-4020-000</t>
  </si>
  <si>
    <t>BD Revenues</t>
  </si>
  <si>
    <t>010-4020-000</t>
  </si>
  <si>
    <t>035-4020-000</t>
  </si>
  <si>
    <t>Other Revenue</t>
  </si>
  <si>
    <t>000-4165-000</t>
  </si>
  <si>
    <t>Chapter 100 Bond Fees</t>
  </si>
  <si>
    <t>000-3000-000</t>
  </si>
  <si>
    <t>City - General Fund</t>
  </si>
  <si>
    <t>000-4100-000</t>
  </si>
  <si>
    <t>Cornerstone Luncheon</t>
  </si>
  <si>
    <t>Program Revenue</t>
  </si>
  <si>
    <t>000-4025-000</t>
  </si>
  <si>
    <t>EDC PIEA Fee Revenue</t>
  </si>
  <si>
    <t>005-4021-000</t>
  </si>
  <si>
    <t>HEDFC-Rebuild KC HEDFC-</t>
  </si>
  <si>
    <t>Interest income</t>
  </si>
  <si>
    <t>000-4300-000</t>
  </si>
  <si>
    <t>Interest Income</t>
  </si>
  <si>
    <t>000-3300-000</t>
  </si>
  <si>
    <t>KCIC Fees</t>
  </si>
  <si>
    <t>000-4050-000</t>
  </si>
  <si>
    <t>LCRA Fees</t>
  </si>
  <si>
    <t>000-4000-000</t>
  </si>
  <si>
    <t>Loan Corp Fees</t>
  </si>
  <si>
    <t>000-4400-000</t>
  </si>
  <si>
    <t>Miscellaneous Income</t>
  </si>
  <si>
    <t>060-4500-000</t>
  </si>
  <si>
    <t>Photocopy Recovery</t>
  </si>
  <si>
    <t>005-4500-000</t>
  </si>
  <si>
    <t>080-4500-000</t>
  </si>
  <si>
    <t>000-4500-000</t>
  </si>
  <si>
    <t>060-4600-000</t>
  </si>
  <si>
    <t>Postage Recovery</t>
  </si>
  <si>
    <t>000-4600-000</t>
  </si>
  <si>
    <t>005-4600-000</t>
  </si>
  <si>
    <t>080-4600-000</t>
  </si>
  <si>
    <t>Program Income</t>
  </si>
  <si>
    <t>080-4310-000</t>
  </si>
  <si>
    <t>119-4310-000</t>
  </si>
  <si>
    <t>000-4080-000</t>
  </si>
  <si>
    <t>TIF Fees</t>
  </si>
  <si>
    <t>000-4540-000</t>
  </si>
  <si>
    <t>Unbilled Project Revenues</t>
  </si>
  <si>
    <t>010-5270-000</t>
  </si>
  <si>
    <t>401K Contribution</t>
  </si>
  <si>
    <t>020-5270-000</t>
  </si>
  <si>
    <t>025-5270-000</t>
  </si>
  <si>
    <t>035-5270-000</t>
  </si>
  <si>
    <t>036-5270-000</t>
  </si>
  <si>
    <t>040-5270-000</t>
  </si>
  <si>
    <t>045-5270-000</t>
  </si>
  <si>
    <t>060-5270-000</t>
  </si>
  <si>
    <t>010-5310-000</t>
  </si>
  <si>
    <t>Professional Activities</t>
  </si>
  <si>
    <t>010-5350-000</t>
  </si>
  <si>
    <t>Advertising/Marketing</t>
  </si>
  <si>
    <t>035-5350-000</t>
  </si>
  <si>
    <t>010-6710-000</t>
  </si>
  <si>
    <t>Bank Service Charges</t>
  </si>
  <si>
    <t>035-5345-000</t>
  </si>
  <si>
    <t>Business Development Surveys</t>
  </si>
  <si>
    <t>010-6401-000</t>
  </si>
  <si>
    <t>CAM Charges</t>
  </si>
  <si>
    <t>010-6220-000</t>
  </si>
  <si>
    <t>Cellular Telephone Service</t>
  </si>
  <si>
    <t>020-5010-000</t>
  </si>
  <si>
    <t>Compensation</t>
  </si>
  <si>
    <t>025-5010-000</t>
  </si>
  <si>
    <t>045-5010-000</t>
  </si>
  <si>
    <t>060-5010-000</t>
  </si>
  <si>
    <t>036-5010-000</t>
  </si>
  <si>
    <t>035-5010-000</t>
  </si>
  <si>
    <t>040-5010-000</t>
  </si>
  <si>
    <t>010-5010-000</t>
  </si>
  <si>
    <t>010-6025-000</t>
  </si>
  <si>
    <t>Computer equipment &amp; software</t>
  </si>
  <si>
    <t>020-5320-000</t>
  </si>
  <si>
    <t>Continuing Education</t>
  </si>
  <si>
    <t>035-5320-000</t>
  </si>
  <si>
    <t>010-5320-000</t>
  </si>
  <si>
    <t>000-6040-000</t>
  </si>
  <si>
    <t>Contribution Exp</t>
  </si>
  <si>
    <t>010-6040-000</t>
  </si>
  <si>
    <t>Contribution Expense</t>
  </si>
  <si>
    <t>035-6040-000</t>
  </si>
  <si>
    <t>Contributions and Sponsorships</t>
  </si>
  <si>
    <t>035-6540-000</t>
  </si>
  <si>
    <t>010-7000-000</t>
  </si>
  <si>
    <t>Cornerstone Awards Dinner</t>
  </si>
  <si>
    <t>010-7010-000</t>
  </si>
  <si>
    <t>005-5240-000</t>
  </si>
  <si>
    <t>Dental Ins</t>
  </si>
  <si>
    <t>010-5230-000</t>
  </si>
  <si>
    <t>Dental Insurance</t>
  </si>
  <si>
    <t>020-5230-000</t>
  </si>
  <si>
    <t>025-5230-000</t>
  </si>
  <si>
    <t>035-5230-000</t>
  </si>
  <si>
    <t>036-5230-000</t>
  </si>
  <si>
    <t>040-5230-000</t>
  </si>
  <si>
    <t>045-5230-000</t>
  </si>
  <si>
    <t>060-5230-000</t>
  </si>
  <si>
    <t>010-6820-000</t>
  </si>
  <si>
    <t>Depr Exp - Computer Software</t>
  </si>
  <si>
    <t>010-6830-000</t>
  </si>
  <si>
    <t>Depr Exp - Furniture &amp; Fixtures</t>
  </si>
  <si>
    <t>010-6840-000</t>
  </si>
  <si>
    <t>Depr Exp - Leasehold Improvements</t>
  </si>
  <si>
    <t>010-6810-000</t>
  </si>
  <si>
    <t>Depr Expense - Computer Hardware</t>
  </si>
  <si>
    <t>010-5250-000</t>
  </si>
  <si>
    <t>Disability Insurance</t>
  </si>
  <si>
    <t>020-5250-000</t>
  </si>
  <si>
    <t>025-5250-000</t>
  </si>
  <si>
    <t>035-5250-000</t>
  </si>
  <si>
    <t>036-5250-000</t>
  </si>
  <si>
    <t>040-5250-000</t>
  </si>
  <si>
    <t>045-5250-000</t>
  </si>
  <si>
    <t>060-5250-000</t>
  </si>
  <si>
    <t>010-6350-000</t>
  </si>
  <si>
    <t>EDC Board Parking</t>
  </si>
  <si>
    <t>010-5200-000</t>
  </si>
  <si>
    <t>Employee Parking</t>
  </si>
  <si>
    <t>020-5200-000</t>
  </si>
  <si>
    <t>025-5200-000</t>
  </si>
  <si>
    <t>035-5200-000</t>
  </si>
  <si>
    <t>036-5200-000</t>
  </si>
  <si>
    <t>040-5200-000</t>
  </si>
  <si>
    <t>045-5200-000</t>
  </si>
  <si>
    <t>060-5200-000</t>
  </si>
  <si>
    <t>010-6100-000</t>
  </si>
  <si>
    <t>Equipment Leases - Copiers</t>
  </si>
  <si>
    <t>010-6140-000</t>
  </si>
  <si>
    <t>Equipment Maint. - Computers</t>
  </si>
  <si>
    <t>020-6010-000</t>
  </si>
  <si>
    <t>Film - Supplies</t>
  </si>
  <si>
    <t>010-6330-000</t>
  </si>
  <si>
    <t>Flowers</t>
  </si>
  <si>
    <t>010-6600-000</t>
  </si>
  <si>
    <t>General Insurance</t>
  </si>
  <si>
    <t>005-5270-000</t>
  </si>
  <si>
    <t>HEDFC 401k Contr Admin</t>
  </si>
  <si>
    <t>005-5010-000</t>
  </si>
  <si>
    <t>HEDFC Compensation</t>
  </si>
  <si>
    <t>005-5230-000</t>
  </si>
  <si>
    <t>HEDFC Dental Ins</t>
  </si>
  <si>
    <t>005-5200-000</t>
  </si>
  <si>
    <t>HEDFC Employee Parking</t>
  </si>
  <si>
    <t>005-5120-000</t>
  </si>
  <si>
    <t>HEDFC ER Tax Exp</t>
  </si>
  <si>
    <t>005-5220-000</t>
  </si>
  <si>
    <t>HEDFC Health Ins</t>
  </si>
  <si>
    <t>020-5310-000</t>
  </si>
  <si>
    <t>005-5250-000</t>
  </si>
  <si>
    <t>HEDFC Life Insurance</t>
  </si>
  <si>
    <t>005-5210-000</t>
  </si>
  <si>
    <t>HEDFC Medical Ins</t>
  </si>
  <si>
    <t>005-5399-000</t>
  </si>
  <si>
    <t>HEDFC Misc Exp</t>
  </si>
  <si>
    <t>025-5310-000</t>
  </si>
  <si>
    <t>035-5310-000</t>
  </si>
  <si>
    <t>005-6560-000</t>
  </si>
  <si>
    <t>HEDFC-Property Maintenance and Mowing</t>
  </si>
  <si>
    <t>005-5300-000</t>
  </si>
  <si>
    <t>HEDFC-Travel Expense</t>
  </si>
  <si>
    <t>010-5351-000</t>
  </si>
  <si>
    <t>Launch KC Advertising/Marketing</t>
  </si>
  <si>
    <t>010-5220-000</t>
  </si>
  <si>
    <t>Life Insurance</t>
  </si>
  <si>
    <t>020-5220-000</t>
  </si>
  <si>
    <t>025-5220-000</t>
  </si>
  <si>
    <t>035-5220-000</t>
  </si>
  <si>
    <t>036-5220-000</t>
  </si>
  <si>
    <t>040-5220-000</t>
  </si>
  <si>
    <t>045-5220-000</t>
  </si>
  <si>
    <t>060-5220-000</t>
  </si>
  <si>
    <t>010-5210-000</t>
  </si>
  <si>
    <t>Medical Insurance</t>
  </si>
  <si>
    <t>020-5210-000</t>
  </si>
  <si>
    <t>025-5210-000</t>
  </si>
  <si>
    <t>035-5210-000</t>
  </si>
  <si>
    <t>036-5210-000</t>
  </si>
  <si>
    <t>040-5210-000</t>
  </si>
  <si>
    <t>045-5210-000</t>
  </si>
  <si>
    <t>060-5210-000</t>
  </si>
  <si>
    <t>010-5330-000</t>
  </si>
  <si>
    <t>Membership Dues</t>
  </si>
  <si>
    <t>020-5330-000</t>
  </si>
  <si>
    <t>035-5330-000</t>
  </si>
  <si>
    <t>010-6340-000</t>
  </si>
  <si>
    <t>Messenger Services</t>
  </si>
  <si>
    <t>080-5405-000</t>
  </si>
  <si>
    <t>Miscellaneous Admin Expense - NSP</t>
  </si>
  <si>
    <t>000-5399-000</t>
  </si>
  <si>
    <t>Miscellaneous Expenses</t>
  </si>
  <si>
    <t>010-5399-000</t>
  </si>
  <si>
    <t>010-6900-000</t>
  </si>
  <si>
    <t>Office Entertainment</t>
  </si>
  <si>
    <t>Office Meeting exp</t>
  </si>
  <si>
    <t>036-6320-000</t>
  </si>
  <si>
    <t>010-6320-000</t>
  </si>
  <si>
    <t>Office Meeting Expenses</t>
  </si>
  <si>
    <t>045-6320-000</t>
  </si>
  <si>
    <t>010-6010-000</t>
  </si>
  <si>
    <t>Office Supplies</t>
  </si>
  <si>
    <t>035-6010-000</t>
  </si>
  <si>
    <t>080-6010-000</t>
  </si>
  <si>
    <t>010-6500-000</t>
  </si>
  <si>
    <t>Accounting Services</t>
  </si>
  <si>
    <t>005-6510-000</t>
  </si>
  <si>
    <t>HEDFC Legal Services</t>
  </si>
  <si>
    <t>010-6300-000</t>
  </si>
  <si>
    <t>Outside Reproduction</t>
  </si>
  <si>
    <t>020-5120-000</t>
  </si>
  <si>
    <t>Payroll Taxes-FICA Medicare</t>
  </si>
  <si>
    <t>025-5120-000</t>
  </si>
  <si>
    <t>045-5120-000</t>
  </si>
  <si>
    <t>060-5120-000</t>
  </si>
  <si>
    <t>036-5120-000</t>
  </si>
  <si>
    <t>035-5120-000</t>
  </si>
  <si>
    <t>040-5120-000</t>
  </si>
  <si>
    <t>Payroll Taxes-FICA/Medicare</t>
  </si>
  <si>
    <t>010-5120-000</t>
  </si>
  <si>
    <t>010-6310-000</t>
  </si>
  <si>
    <t>Postage</t>
  </si>
  <si>
    <t>080-6310-000</t>
  </si>
  <si>
    <t>000-6510-000</t>
  </si>
  <si>
    <t>Legal Services</t>
  </si>
  <si>
    <t>010-6510-000</t>
  </si>
  <si>
    <t>080-6510-000</t>
  </si>
  <si>
    <t>035-6520-000</t>
  </si>
  <si>
    <t>Recruiting Exp</t>
  </si>
  <si>
    <t>010-6520-000</t>
  </si>
  <si>
    <t>Recruiting Expenses</t>
  </si>
  <si>
    <t>010-6530-000</t>
  </si>
  <si>
    <t>Outside Consultants</t>
  </si>
  <si>
    <t>020-6530-000</t>
  </si>
  <si>
    <t>035-6530-000</t>
  </si>
  <si>
    <t>Rehabilitation Expenses</t>
  </si>
  <si>
    <t>120-6360-000</t>
  </si>
  <si>
    <t>010-6400-000</t>
  </si>
  <si>
    <t>Rent</t>
  </si>
  <si>
    <t>010-6950-000</t>
  </si>
  <si>
    <t>Special Events</t>
  </si>
  <si>
    <t>010-5340-000</t>
  </si>
  <si>
    <t>Subscriptions</t>
  </si>
  <si>
    <t>020-5340-000</t>
  </si>
  <si>
    <t>035-5340-000</t>
  </si>
  <si>
    <t>010-6200-000</t>
  </si>
  <si>
    <t>Telephone Service</t>
  </si>
  <si>
    <t>010-6020-000</t>
  </si>
  <si>
    <t>Temporary Service</t>
  </si>
  <si>
    <t>025-6020-000</t>
  </si>
  <si>
    <t>Temporary Services</t>
  </si>
  <si>
    <t>060-6010-000</t>
  </si>
  <si>
    <t>TIF Commission- - Office Supplies</t>
  </si>
  <si>
    <t>020-5300-000</t>
  </si>
  <si>
    <t>Travel &amp; Entertainment</t>
  </si>
  <si>
    <t>025-5300-000</t>
  </si>
  <si>
    <t>045-5300-000</t>
  </si>
  <si>
    <t>060-5300-000</t>
  </si>
  <si>
    <t>036-5300-000</t>
  </si>
  <si>
    <t>035-5300-000</t>
  </si>
  <si>
    <t>010-5300-000</t>
  </si>
  <si>
    <t>010-5130-000</t>
  </si>
  <si>
    <t>Unemployment Taxes - FUTA/SUTA</t>
  </si>
  <si>
    <t>Utilities</t>
  </si>
  <si>
    <t>010-6420-000</t>
  </si>
  <si>
    <t>010-5240-000</t>
  </si>
  <si>
    <t>Vision Insurance</t>
  </si>
  <si>
    <t>020-5240-000</t>
  </si>
  <si>
    <t>000-1204-000</t>
  </si>
  <si>
    <t>Other Receivables</t>
  </si>
  <si>
    <t>000-5350-000</t>
  </si>
  <si>
    <t>000-6530-000</t>
  </si>
  <si>
    <t>035-6510-000</t>
  </si>
  <si>
    <t>Legal Fees</t>
  </si>
  <si>
    <t>025-5240-000</t>
  </si>
  <si>
    <t>035-5240-000</t>
  </si>
  <si>
    <t>036-5240-000</t>
  </si>
  <si>
    <t>040-5240-000</t>
  </si>
  <si>
    <t>045-5240-000</t>
  </si>
  <si>
    <t>060-5240-000</t>
  </si>
  <si>
    <t>Interest Expense</t>
  </si>
  <si>
    <t>010-6700-000</t>
  </si>
  <si>
    <t xml:space="preserve"> </t>
  </si>
  <si>
    <t>000-4040-000</t>
  </si>
  <si>
    <t>IDA Fees</t>
  </si>
  <si>
    <t>011-4100-000</t>
  </si>
  <si>
    <t>Cornerstone Revenue</t>
  </si>
  <si>
    <t>011-7000-000</t>
  </si>
  <si>
    <t>Cornerstone Expense</t>
  </si>
  <si>
    <t>020-3000-000</t>
  </si>
  <si>
    <t>City-General Fund</t>
  </si>
  <si>
    <t>020-5331-000</t>
  </si>
  <si>
    <t>KCADC Membership</t>
  </si>
  <si>
    <t>025-5280-000</t>
  </si>
  <si>
    <t>Compensation Contra</t>
  </si>
  <si>
    <t>025-5352-000</t>
  </si>
  <si>
    <t>Contribution to EDC Loan</t>
  </si>
  <si>
    <t>025-6010-000</t>
  </si>
  <si>
    <t>Loan Corp- - Office Supplies &amp; Expense</t>
  </si>
  <si>
    <t>025-6020-028</t>
  </si>
  <si>
    <t>Temporary Services-Contra</t>
  </si>
  <si>
    <t>025-6510-000</t>
  </si>
  <si>
    <t>Loan Corp- - Legal Services</t>
  </si>
  <si>
    <t>036-3000-000</t>
  </si>
  <si>
    <t>036-6010-000</t>
  </si>
  <si>
    <t>036-6020-000</t>
  </si>
  <si>
    <t>036-6025-000</t>
  </si>
  <si>
    <t>Computer Equipment &amp; Software</t>
  </si>
  <si>
    <t>036-6220-000</t>
  </si>
  <si>
    <t>045-6010-000</t>
  </si>
  <si>
    <t>LCRA- - Office Supplies</t>
  </si>
  <si>
    <t>060-3000-000</t>
  </si>
  <si>
    <t>060-6500-000</t>
  </si>
  <si>
    <t>TIF Commission-Accounting Services</t>
  </si>
  <si>
    <t>(blank)</t>
  </si>
  <si>
    <t>Grand Total</t>
  </si>
  <si>
    <t>1 Total</t>
  </si>
  <si>
    <t>2 Total</t>
  </si>
  <si>
    <t>3 Total</t>
  </si>
  <si>
    <t>4 Total</t>
  </si>
  <si>
    <t>5 Total</t>
  </si>
  <si>
    <t>(blank) Total</t>
  </si>
  <si>
    <t>010-6120-000</t>
  </si>
  <si>
    <t>Equipment Leases - Computers</t>
  </si>
  <si>
    <t>010-7040-000</t>
  </si>
  <si>
    <t>Cornerstone Video Production</t>
  </si>
  <si>
    <t>020-6220-000</t>
  </si>
  <si>
    <t>Film - Cell Phone Charges</t>
  </si>
  <si>
    <t>025-6010-028</t>
  </si>
  <si>
    <t>Office Supplies-Contra</t>
  </si>
  <si>
    <t>025-6520-000</t>
  </si>
  <si>
    <t>025-6520-028</t>
  </si>
  <si>
    <t>Recruiting Expense-Contra</t>
  </si>
  <si>
    <t>025-9999-000</t>
  </si>
  <si>
    <t>EDC Loan Contra Acct</t>
  </si>
  <si>
    <t>035-5351-000</t>
  </si>
  <si>
    <t>Business Development-Launch KC Advertising Market</t>
  </si>
  <si>
    <t>035-6320-000</t>
  </si>
  <si>
    <t>036-5310-000</t>
  </si>
  <si>
    <t>036-5350-000</t>
  </si>
  <si>
    <t>045-6340-000</t>
  </si>
  <si>
    <t>LCRA- -Messenger Service</t>
  </si>
  <si>
    <t>060-6340-000</t>
  </si>
  <si>
    <t>TIF Commission- - Messenger Servide</t>
  </si>
  <si>
    <t>Statements of Financial Position</t>
  </si>
  <si>
    <t>ASSETS:</t>
  </si>
  <si>
    <t>Accounts receivable</t>
  </si>
  <si>
    <t>Accounts receivable - related parties</t>
  </si>
  <si>
    <t>Prepaid expenses</t>
  </si>
  <si>
    <t>Property held for sale</t>
  </si>
  <si>
    <t>Capital assets, net of accumulated depreciation</t>
  </si>
  <si>
    <t>Total assets</t>
  </si>
  <si>
    <t>LIABILITIES:</t>
  </si>
  <si>
    <t>Accrued payroll and fringe benefits</t>
  </si>
  <si>
    <t>Unearned revenues</t>
  </si>
  <si>
    <t>Deferred credit - lease incentive</t>
  </si>
  <si>
    <t>Total liabilities</t>
  </si>
  <si>
    <t xml:space="preserve">NET ASSETS </t>
  </si>
  <si>
    <t xml:space="preserve">Unrestricted </t>
  </si>
  <si>
    <t xml:space="preserve">Total net assets </t>
  </si>
  <si>
    <t>Statements of Activities</t>
  </si>
  <si>
    <t>REVENUES</t>
  </si>
  <si>
    <t>TOTAL REVENUE</t>
  </si>
  <si>
    <t>EXPENSES</t>
  </si>
  <si>
    <t>TOTAL GENERAL EXPENSES</t>
  </si>
  <si>
    <t>Net Income/(Loss)</t>
  </si>
  <si>
    <t xml:space="preserve">Net position, beginning of year </t>
  </si>
  <si>
    <t xml:space="preserve">Net position, end of year </t>
  </si>
  <si>
    <t xml:space="preserve">EDC </t>
  </si>
  <si>
    <t>CF Stmt Categories</t>
  </si>
  <si>
    <t>Cash Flow Worksheet</t>
  </si>
  <si>
    <t>4/30/2010</t>
  </si>
  <si>
    <t>Cash from</t>
  </si>
  <si>
    <t>Cash to</t>
  </si>
  <si>
    <t>Purchase</t>
  </si>
  <si>
    <t xml:space="preserve">Cash to </t>
  </si>
  <si>
    <t>Proceeds</t>
  </si>
  <si>
    <t>Payment on</t>
  </si>
  <si>
    <t>Proceeds on</t>
  </si>
  <si>
    <t>Cap lease</t>
  </si>
  <si>
    <t>Interest</t>
  </si>
  <si>
    <t>Purch of</t>
  </si>
  <si>
    <t>Customers</t>
  </si>
  <si>
    <t>Suppliers</t>
  </si>
  <si>
    <t>of Investments</t>
  </si>
  <si>
    <t>employees</t>
  </si>
  <si>
    <t>from loan</t>
  </si>
  <si>
    <t>loan</t>
  </si>
  <si>
    <t>LOC</t>
  </si>
  <si>
    <t>ST Note</t>
  </si>
  <si>
    <t>payments</t>
  </si>
  <si>
    <t>paid</t>
  </si>
  <si>
    <t>cap assets</t>
  </si>
  <si>
    <t>rec'd</t>
  </si>
  <si>
    <t>Balance Sheet:</t>
  </si>
  <si>
    <t>Change</t>
  </si>
  <si>
    <t>Assets held for development</t>
  </si>
  <si>
    <t>Notes payable</t>
  </si>
  <si>
    <t>Invested in capital assets, net of related debt</t>
  </si>
  <si>
    <t>Unrestricted (deficit)</t>
  </si>
  <si>
    <t>Income Statement</t>
  </si>
  <si>
    <t>Admin Fees - Affilicated organization</t>
  </si>
  <si>
    <t>Admin Fees - Others</t>
  </si>
  <si>
    <t>Cornerstone</t>
  </si>
  <si>
    <t xml:space="preserve">Program reveneus </t>
  </si>
  <si>
    <t xml:space="preserve">Interest income </t>
  </si>
  <si>
    <t xml:space="preserve">Other </t>
  </si>
  <si>
    <t xml:space="preserve"> STATEMENT OF CASH FLOWS</t>
  </si>
  <si>
    <t>CASH FLOWS FROM OPERATING ACTIVITIES:</t>
  </si>
  <si>
    <t>Cash received from customers and contributors</t>
  </si>
  <si>
    <t>Cash paid to suppliers</t>
  </si>
  <si>
    <t>Cash paid to employees</t>
  </si>
  <si>
    <t>CASH FLOWS FROM NONCAPITAL FINANCING ACTIVITIES:</t>
  </si>
  <si>
    <t>Proceeds from note payable</t>
  </si>
  <si>
    <t>Repayments of note payable</t>
  </si>
  <si>
    <t>Advances on line of credit</t>
  </si>
  <si>
    <t>Repayments of short-term note</t>
  </si>
  <si>
    <t>Contribution to related entity</t>
  </si>
  <si>
    <t>Net cash provided by noncapital financing activities</t>
  </si>
  <si>
    <t>CASH FLOWS FROM CAPITAL AND RELATED FINANCING ACTIVITIES:</t>
  </si>
  <si>
    <t>Principal paid on capital lease obligations</t>
  </si>
  <si>
    <t>Interest paid</t>
  </si>
  <si>
    <t>CASH FLOWS FROM INVESTING ACTIVITIES:</t>
  </si>
  <si>
    <t>Purchase of investments</t>
  </si>
  <si>
    <t>Interest received</t>
  </si>
  <si>
    <t>Net cash provided (used) by investing activities</t>
  </si>
  <si>
    <t>difference</t>
  </si>
  <si>
    <t>Net loss</t>
  </si>
  <si>
    <t>Depreciation</t>
  </si>
  <si>
    <t>Changes in operating assets and liabilities:</t>
  </si>
  <si>
    <t xml:space="preserve">  Change in accounts receivable</t>
  </si>
  <si>
    <t xml:space="preserve">  Change in prepaid expenses</t>
  </si>
  <si>
    <t xml:space="preserve">  Change in accounts payable</t>
  </si>
  <si>
    <t xml:space="preserve">  Change in accrued payroll and fringe benefits</t>
  </si>
  <si>
    <t xml:space="preserve">  Change in deferred revenue </t>
  </si>
  <si>
    <t xml:space="preserve">  Change in deferred credit - lease incentive</t>
  </si>
  <si>
    <t xml:space="preserve">Interest </t>
  </si>
  <si>
    <t>Net cash provided (used) by operating activities</t>
  </si>
  <si>
    <t>Net cash provided (used) by capital and related financing activities</t>
  </si>
  <si>
    <t xml:space="preserve">Cash and Investments, beginning of year </t>
  </si>
  <si>
    <t>Cash and Investments, end of period</t>
  </si>
  <si>
    <t xml:space="preserve">Net increase (decrease) in cash and investments </t>
  </si>
  <si>
    <t>Reconciliation of net operating income (loss)</t>
  </si>
  <si>
    <t>Adjustments to reconcile net income (loss)</t>
  </si>
  <si>
    <t xml:space="preserve">   to net cash provided (used) by operating activities:</t>
  </si>
  <si>
    <t xml:space="preserve">     Net cash provided (used) by operating activities</t>
  </si>
  <si>
    <t xml:space="preserve">to net cash provided (used) in operating activities </t>
  </si>
  <si>
    <t>Purchases of property and equipment</t>
  </si>
  <si>
    <t>025-5300-028</t>
  </si>
  <si>
    <t>025-6320-028</t>
  </si>
  <si>
    <t>025-6320-000</t>
  </si>
  <si>
    <t>036-5330-000</t>
  </si>
  <si>
    <t>036-5320-000</t>
  </si>
  <si>
    <t>037-5351-000</t>
  </si>
  <si>
    <t>Travel &amp; Entertainment-Contra</t>
  </si>
  <si>
    <t>Meetings-Contra Account</t>
  </si>
  <si>
    <t>Loan Corp- - Office Meeting Expenses</t>
  </si>
  <si>
    <t>Launch KC- Advertising/Marketing</t>
  </si>
  <si>
    <t>Property &amp; equipment, net</t>
  </si>
  <si>
    <t>City contribution</t>
  </si>
  <si>
    <t>Cornerstone revenues</t>
  </si>
  <si>
    <t>Marketing and public relations</t>
  </si>
  <si>
    <t>Other expenes</t>
  </si>
  <si>
    <t xml:space="preserve">Legal services </t>
  </si>
  <si>
    <t>Compensation and benefits</t>
  </si>
  <si>
    <t>Program expenses</t>
  </si>
  <si>
    <t>Training &amp; educational</t>
  </si>
  <si>
    <t>Dues and subscriptions</t>
  </si>
  <si>
    <t xml:space="preserve">Supplies/meetings </t>
  </si>
  <si>
    <t>Computer equipment and software</t>
  </si>
  <si>
    <t>Equipment leases and maintenance</t>
  </si>
  <si>
    <t>Phones</t>
  </si>
  <si>
    <t>Postage and delivery</t>
  </si>
  <si>
    <t xml:space="preserve">Rent and utilities </t>
  </si>
  <si>
    <t xml:space="preserve">Accounting services </t>
  </si>
  <si>
    <t>Insurance</t>
  </si>
  <si>
    <t>Cornerstone awards expense</t>
  </si>
  <si>
    <t>Due from EDC Loan</t>
  </si>
  <si>
    <t>Acct</t>
  </si>
  <si>
    <t>Total</t>
  </si>
  <si>
    <t xml:space="preserve">Due from City/EDC Loan </t>
  </si>
  <si>
    <t>Sum of 10/31/2015</t>
  </si>
  <si>
    <t>037-4024-000</t>
  </si>
  <si>
    <t>025-5010-028</t>
  </si>
  <si>
    <t>025-5230-028</t>
  </si>
  <si>
    <t>010-8600-000</t>
  </si>
  <si>
    <t>070-6021-000</t>
  </si>
  <si>
    <t>011-6320-000</t>
  </si>
  <si>
    <t>060-6530-000</t>
  </si>
  <si>
    <t>036-6340-000</t>
  </si>
  <si>
    <t>025-5320-000</t>
  </si>
  <si>
    <t>037-6040-000</t>
  </si>
  <si>
    <t>Launch KC- Grant</t>
  </si>
  <si>
    <t>Compensation-Contra</t>
  </si>
  <si>
    <t>Continuing Education-Contra</t>
  </si>
  <si>
    <t>Capital Outlay-PC Project</t>
  </si>
  <si>
    <t>Contribution to related party</t>
  </si>
  <si>
    <t>Cornerstone- - Meeting Expense</t>
  </si>
  <si>
    <t>TIF Commission- - Consultant Expense</t>
  </si>
  <si>
    <t>Launch KC- - Contribution and Sponsorship</t>
  </si>
  <si>
    <t>000-1117-000</t>
  </si>
  <si>
    <t>PC Replacement Program</t>
  </si>
  <si>
    <t>Capital outlay</t>
  </si>
  <si>
    <t>025-6512-028</t>
  </si>
  <si>
    <t>025-5320-028</t>
  </si>
  <si>
    <t>025-6350-028</t>
  </si>
  <si>
    <t>025-6350-000</t>
  </si>
  <si>
    <t>045-6350-000</t>
  </si>
  <si>
    <t>060-6350-000</t>
  </si>
  <si>
    <t>035-6025-000</t>
  </si>
  <si>
    <t>011-5350-000</t>
  </si>
  <si>
    <t>036-6525-000</t>
  </si>
  <si>
    <t>025-6512-000</t>
  </si>
  <si>
    <t>Settlement Expenses-Contra</t>
  </si>
  <si>
    <t>Board Parking-Contra</t>
  </si>
  <si>
    <t>Loan Corp- - Board Parking</t>
  </si>
  <si>
    <t>LCRA- - Board Parking</t>
  </si>
  <si>
    <t>TIF Commission- - Board Parking</t>
  </si>
  <si>
    <t>Business Development- - Computer Equip &amp; Software</t>
  </si>
  <si>
    <t>Cornerstone- - Advertising/Marketing</t>
  </si>
  <si>
    <t>Relocation Expenses</t>
  </si>
  <si>
    <t>Settlement Expense</t>
  </si>
  <si>
    <t>Capital Outlay - PC Replacement</t>
  </si>
  <si>
    <t>000-2901-000</t>
  </si>
  <si>
    <t>2901</t>
  </si>
  <si>
    <t>Fund Balance-PC Replacement Pr-</t>
  </si>
  <si>
    <t>Invest</t>
  </si>
  <si>
    <t>035-4350-000</t>
  </si>
  <si>
    <t>035-8530-000</t>
  </si>
  <si>
    <t>036-8530-000</t>
  </si>
  <si>
    <t>060-5310-000</t>
  </si>
  <si>
    <t>Business Seminar Revenue</t>
  </si>
  <si>
    <t>Business Seminar Expenses</t>
  </si>
  <si>
    <t>35</t>
  </si>
  <si>
    <t>36</t>
  </si>
  <si>
    <t>60</t>
  </si>
  <si>
    <t>4350</t>
  </si>
  <si>
    <t>8530</t>
  </si>
  <si>
    <t>5310</t>
  </si>
  <si>
    <t>Variance</t>
  </si>
  <si>
    <t>For the Nine Months Ended January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</si>
</sst>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  <numFmt numFmtId="167" formatCode="#,##0.00;\(#,##0.00\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0"/>
      <name val="Times New Roman"/>
      <family val="1"/>
    </font>
    <font>
      <sz val="10"/>
      <color indexed="0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7" fillId="0" borderId="0"/>
    <xf numFmtId="43" fontId="1" fillId="0" borderId="0" applyFont="0" applyFill="0" applyBorder="0" applyAlignment="0" applyProtection="0"/>
    <xf numFmtId="0" fontId="1" fillId="3" borderId="1" applyNumberFormat="0" applyFont="0" applyAlignment="0" applyProtection="0"/>
  </cellStyleXfs>
  <cellXfs count="109">
    <xf numFmtId="0" fontId="0" fillId="0" borderId="0" xfId="0"/>
    <xf numFmtId="0" fontId="4" fillId="0" borderId="0" xfId="0" applyFont="1" applyFill="1"/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left"/>
    </xf>
    <xf numFmtId="40" fontId="4" fillId="0" borderId="0" xfId="0" applyNumberFormat="1" applyFont="1" applyFill="1"/>
    <xf numFmtId="0" fontId="5" fillId="0" borderId="0" xfId="0" applyFont="1" applyFill="1"/>
    <xf numFmtId="0" fontId="4" fillId="2" borderId="0" xfId="0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left"/>
    </xf>
    <xf numFmtId="43" fontId="4" fillId="0" borderId="0" xfId="1" applyFont="1" applyFill="1"/>
    <xf numFmtId="14" fontId="5" fillId="0" borderId="0" xfId="1" applyNumberFormat="1" applyFont="1" applyFill="1" applyAlignment="1">
      <alignment horizontal="center"/>
    </xf>
    <xf numFmtId="0" fontId="0" fillId="0" borderId="0" xfId="0" pivotButton="1"/>
    <xf numFmtId="43" fontId="0" fillId="0" borderId="0" xfId="1" applyFont="1"/>
    <xf numFmtId="43" fontId="0" fillId="0" borderId="0" xfId="0" applyNumberFormat="1"/>
    <xf numFmtId="0" fontId="4" fillId="0" borderId="0" xfId="4"/>
    <xf numFmtId="0" fontId="5" fillId="0" borderId="0" xfId="4" applyFont="1" applyAlignment="1"/>
    <xf numFmtId="15" fontId="5" fillId="0" borderId="0" xfId="4" quotePrefix="1" applyNumberFormat="1" applyFont="1" applyAlignment="1">
      <alignment horizontal="center"/>
    </xf>
    <xf numFmtId="15" fontId="5" fillId="0" borderId="0" xfId="4" quotePrefix="1" applyNumberFormat="1" applyFont="1" applyFill="1" applyAlignment="1">
      <alignment horizontal="center"/>
    </xf>
    <xf numFmtId="164" fontId="4" fillId="0" borderId="0" xfId="5" applyNumberFormat="1" applyFont="1" applyFill="1"/>
    <xf numFmtId="0" fontId="5" fillId="0" borderId="0" xfId="4" applyFont="1"/>
    <xf numFmtId="0" fontId="4" fillId="0" borderId="0" xfId="4" applyFill="1"/>
    <xf numFmtId="166" fontId="0" fillId="0" borderId="0" xfId="6" applyNumberFormat="1" applyFont="1" applyFill="1"/>
    <xf numFmtId="0" fontId="4" fillId="0" borderId="0" xfId="4" applyFont="1"/>
    <xf numFmtId="164" fontId="0" fillId="0" borderId="0" xfId="5" applyNumberFormat="1" applyFont="1" applyFill="1"/>
    <xf numFmtId="164" fontId="0" fillId="0" borderId="2" xfId="5" applyNumberFormat="1" applyFont="1" applyFill="1" applyBorder="1"/>
    <xf numFmtId="41" fontId="0" fillId="0" borderId="2" xfId="6" applyNumberFormat="1" applyFont="1" applyFill="1" applyBorder="1"/>
    <xf numFmtId="41" fontId="0" fillId="0" borderId="0" xfId="6" applyNumberFormat="1" applyFont="1" applyFill="1"/>
    <xf numFmtId="0" fontId="4" fillId="0" borderId="0" xfId="4" applyFont="1" applyFill="1"/>
    <xf numFmtId="41" fontId="4" fillId="0" borderId="0" xfId="4" applyNumberFormat="1"/>
    <xf numFmtId="164" fontId="0" fillId="0" borderId="0" xfId="5" applyNumberFormat="1" applyFont="1" applyFill="1" applyBorder="1"/>
    <xf numFmtId="42" fontId="4" fillId="0" borderId="3" xfId="4" applyNumberFormat="1" applyFill="1" applyBorder="1"/>
    <xf numFmtId="164" fontId="4" fillId="0" borderId="0" xfId="4" applyNumberFormat="1" applyFill="1"/>
    <xf numFmtId="41" fontId="4" fillId="0" borderId="0" xfId="4" applyNumberFormat="1" applyFill="1"/>
    <xf numFmtId="0" fontId="5" fillId="0" borderId="0" xfId="4" applyFont="1" applyAlignment="1">
      <alignment horizontal="center"/>
    </xf>
    <xf numFmtId="41" fontId="5" fillId="0" borderId="0" xfId="4" applyNumberFormat="1" applyFont="1" applyFill="1" applyAlignment="1">
      <alignment horizontal="center"/>
    </xf>
    <xf numFmtId="41" fontId="0" fillId="0" borderId="0" xfId="5" applyNumberFormat="1" applyFont="1"/>
    <xf numFmtId="0" fontId="6" fillId="0" borderId="0" xfId="4" applyFont="1" applyAlignment="1">
      <alignment horizontal="left"/>
    </xf>
    <xf numFmtId="41" fontId="4" fillId="0" borderId="0" xfId="6" applyNumberFormat="1" applyFont="1" applyFill="1" applyBorder="1"/>
    <xf numFmtId="0" fontId="4" fillId="0" borderId="0" xfId="4" applyAlignment="1">
      <alignment horizontal="left"/>
    </xf>
    <xf numFmtId="166" fontId="4" fillId="0" borderId="0" xfId="6" applyNumberFormat="1" applyFont="1"/>
    <xf numFmtId="41" fontId="7" fillId="0" borderId="0" xfId="7" applyNumberFormat="1" applyBorder="1"/>
    <xf numFmtId="41" fontId="6" fillId="0" borderId="0" xfId="7" applyNumberFormat="1" applyFont="1"/>
    <xf numFmtId="41" fontId="7" fillId="0" borderId="0" xfId="7" applyNumberFormat="1" applyAlignment="1">
      <alignment horizontal="fill"/>
    </xf>
    <xf numFmtId="41" fontId="7" fillId="0" borderId="0" xfId="7" applyNumberFormat="1"/>
    <xf numFmtId="41" fontId="7" fillId="0" borderId="2" xfId="7" applyNumberFormat="1" applyBorder="1"/>
    <xf numFmtId="41" fontId="4" fillId="0" borderId="0" xfId="5" applyNumberFormat="1" applyFont="1"/>
    <xf numFmtId="0" fontId="1" fillId="0" borderId="0" xfId="3" applyFont="1"/>
    <xf numFmtId="41" fontId="7" fillId="0" borderId="0" xfId="7" applyNumberFormat="1" applyFont="1" applyAlignment="1">
      <alignment horizontal="fill"/>
    </xf>
    <xf numFmtId="41" fontId="4" fillId="0" borderId="2" xfId="4" applyNumberFormat="1" applyFont="1" applyFill="1" applyBorder="1"/>
    <xf numFmtId="41" fontId="4" fillId="0" borderId="2" xfId="5" applyNumberFormat="1" applyFont="1" applyBorder="1"/>
    <xf numFmtId="41" fontId="4" fillId="0" borderId="0" xfId="4" applyNumberFormat="1" applyFont="1" applyFill="1"/>
    <xf numFmtId="166" fontId="4" fillId="0" borderId="3" xfId="6" applyNumberFormat="1" applyFont="1" applyBorder="1"/>
    <xf numFmtId="8" fontId="4" fillId="0" borderId="0" xfId="5" applyNumberFormat="1" applyFont="1"/>
    <xf numFmtId="164" fontId="0" fillId="0" borderId="0" xfId="5" applyNumberFormat="1" applyFont="1" applyBorder="1" applyAlignment="1">
      <alignment horizontal="center"/>
    </xf>
    <xf numFmtId="0" fontId="5" fillId="0" borderId="0" xfId="4" quotePrefix="1" applyFont="1" applyAlignment="1">
      <alignment horizontal="left"/>
    </xf>
    <xf numFmtId="0" fontId="4" fillId="0" borderId="0" xfId="4" applyAlignment="1">
      <alignment horizontal="center"/>
    </xf>
    <xf numFmtId="164" fontId="0" fillId="0" borderId="0" xfId="5" applyNumberFormat="1" applyFont="1" applyAlignment="1">
      <alignment horizontal="center"/>
    </xf>
    <xf numFmtId="0" fontId="4" fillId="0" borderId="0" xfId="4" applyFont="1" applyAlignment="1">
      <alignment horizontal="center"/>
    </xf>
    <xf numFmtId="164" fontId="0" fillId="0" borderId="2" xfId="5" applyNumberFormat="1" applyFont="1" applyBorder="1" applyAlignment="1">
      <alignment horizontal="center"/>
    </xf>
    <xf numFmtId="0" fontId="4" fillId="0" borderId="2" xfId="4" applyBorder="1" applyAlignment="1">
      <alignment horizontal="center"/>
    </xf>
    <xf numFmtId="0" fontId="4" fillId="0" borderId="2" xfId="4" applyFont="1" applyBorder="1" applyAlignment="1">
      <alignment horizontal="center"/>
    </xf>
    <xf numFmtId="0" fontId="8" fillId="0" borderId="0" xfId="4" applyFont="1" applyAlignment="1">
      <alignment horizontal="center"/>
    </xf>
    <xf numFmtId="164" fontId="0" fillId="0" borderId="0" xfId="5" applyNumberFormat="1" applyFont="1"/>
    <xf numFmtId="164" fontId="4" fillId="0" borderId="0" xfId="4" applyNumberFormat="1"/>
    <xf numFmtId="166" fontId="7" fillId="0" borderId="0" xfId="6" applyNumberFormat="1" applyFont="1" applyBorder="1"/>
    <xf numFmtId="37" fontId="4" fillId="0" borderId="0" xfId="6" applyNumberFormat="1"/>
    <xf numFmtId="37" fontId="4" fillId="0" borderId="0" xfId="6" applyNumberFormat="1" applyBorder="1"/>
    <xf numFmtId="166" fontId="4" fillId="0" borderId="0" xfId="6" applyNumberFormat="1" applyBorder="1"/>
    <xf numFmtId="164" fontId="4" fillId="0" borderId="0" xfId="5" applyNumberFormat="1" applyBorder="1"/>
    <xf numFmtId="164" fontId="4" fillId="0" borderId="2" xfId="5" applyNumberFormat="1" applyBorder="1"/>
    <xf numFmtId="166" fontId="4" fillId="0" borderId="0" xfId="4" applyNumberFormat="1"/>
    <xf numFmtId="164" fontId="4" fillId="0" borderId="2" xfId="5" applyNumberFormat="1" applyFont="1" applyBorder="1"/>
    <xf numFmtId="164" fontId="4" fillId="0" borderId="0" xfId="5" applyNumberFormat="1" applyFill="1" applyBorder="1"/>
    <xf numFmtId="164" fontId="4" fillId="0" borderId="2" xfId="5" applyNumberFormat="1" applyFill="1" applyBorder="1"/>
    <xf numFmtId="164" fontId="4" fillId="0" borderId="0" xfId="5" applyNumberFormat="1" applyFont="1" applyBorder="1"/>
    <xf numFmtId="166" fontId="4" fillId="0" borderId="3" xfId="6" applyNumberFormat="1" applyBorder="1"/>
    <xf numFmtId="166" fontId="4" fillId="0" borderId="0" xfId="6" applyNumberFormat="1"/>
    <xf numFmtId="164" fontId="4" fillId="0" borderId="0" xfId="5" applyNumberFormat="1"/>
    <xf numFmtId="164" fontId="4" fillId="0" borderId="0" xfId="5" applyNumberFormat="1" applyFill="1"/>
    <xf numFmtId="41" fontId="5" fillId="0" borderId="0" xfId="4" applyNumberFormat="1" applyFont="1"/>
    <xf numFmtId="164" fontId="5" fillId="0" borderId="0" xfId="5" applyNumberFormat="1" applyFont="1" applyBorder="1"/>
    <xf numFmtId="43" fontId="4" fillId="2" borderId="0" xfId="1" applyFont="1" applyFill="1"/>
    <xf numFmtId="43" fontId="4" fillId="0" borderId="0" xfId="1" applyFont="1"/>
    <xf numFmtId="0" fontId="4" fillId="0" borderId="0" xfId="0" applyFont="1"/>
    <xf numFmtId="41" fontId="0" fillId="2" borderId="0" xfId="6" applyNumberFormat="1" applyFont="1" applyFill="1"/>
    <xf numFmtId="43" fontId="4" fillId="0" borderId="0" xfId="1" applyFont="1" applyAlignment="1">
      <alignment horizontal="center"/>
    </xf>
    <xf numFmtId="49" fontId="4" fillId="4" borderId="0" xfId="0" applyNumberFormat="1" applyFont="1" applyFill="1" applyAlignment="1">
      <alignment horizontal="left"/>
    </xf>
    <xf numFmtId="164" fontId="4" fillId="0" borderId="2" xfId="4" applyNumberFormat="1" applyBorder="1"/>
    <xf numFmtId="165" fontId="0" fillId="0" borderId="2" xfId="5" applyNumberFormat="1" applyFont="1" applyFill="1" applyBorder="1" applyAlignment="1">
      <alignment horizontal="center"/>
    </xf>
    <xf numFmtId="164" fontId="0" fillId="0" borderId="0" xfId="1" applyNumberFormat="1" applyFont="1" applyFill="1"/>
    <xf numFmtId="164" fontId="0" fillId="0" borderId="0" xfId="6" applyNumberFormat="1" applyFont="1" applyFill="1"/>
    <xf numFmtId="164" fontId="4" fillId="0" borderId="4" xfId="1" applyNumberFormat="1" applyFont="1" applyBorder="1"/>
    <xf numFmtId="164" fontId="4" fillId="0" borderId="4" xfId="4" applyNumberFormat="1" applyBorder="1"/>
    <xf numFmtId="164" fontId="4" fillId="0" borderId="0" xfId="1" applyNumberFormat="1" applyFont="1"/>
    <xf numFmtId="164" fontId="0" fillId="0" borderId="0" xfId="1" applyNumberFormat="1" applyFont="1" applyFill="1" applyBorder="1"/>
    <xf numFmtId="164" fontId="0" fillId="0" borderId="2" xfId="1" applyNumberFormat="1" applyFont="1" applyFill="1" applyBorder="1"/>
    <xf numFmtId="164" fontId="4" fillId="0" borderId="0" xfId="4" applyNumberFormat="1" applyBorder="1"/>
    <xf numFmtId="164" fontId="0" fillId="0" borderId="0" xfId="1" applyNumberFormat="1" applyFont="1"/>
    <xf numFmtId="164" fontId="4" fillId="0" borderId="0" xfId="4" applyNumberFormat="1" applyFont="1"/>
    <xf numFmtId="164" fontId="4" fillId="0" borderId="0" xfId="1" applyNumberFormat="1" applyFont="1" applyFill="1" applyBorder="1"/>
    <xf numFmtId="164" fontId="0" fillId="0" borderId="2" xfId="5" applyNumberFormat="1" applyFont="1" applyBorder="1"/>
    <xf numFmtId="43" fontId="4" fillId="0" borderId="0" xfId="0" applyNumberFormat="1" applyFont="1" applyFill="1"/>
    <xf numFmtId="0" fontId="5" fillId="0" borderId="0" xfId="4" applyFont="1" applyAlignment="1">
      <alignment horizontal="center"/>
    </xf>
    <xf numFmtId="15" fontId="5" fillId="0" borderId="0" xfId="4" applyNumberFormat="1" applyFont="1" applyAlignment="1">
      <alignment horizontal="center"/>
    </xf>
    <xf numFmtId="37" fontId="5" fillId="0" borderId="0" xfId="6" applyNumberFormat="1" applyFont="1" applyAlignment="1">
      <alignment horizontal="center"/>
    </xf>
    <xf numFmtId="37" fontId="4" fillId="0" borderId="0" xfId="6" applyNumberFormat="1" applyFont="1" applyAlignment="1">
      <alignment horizontal="center"/>
    </xf>
    <xf numFmtId="164" fontId="0" fillId="0" borderId="2" xfId="5" applyNumberFormat="1" applyFont="1" applyBorder="1" applyAlignment="1">
      <alignment horizontal="center"/>
    </xf>
  </cellXfs>
  <cellStyles count="10">
    <cellStyle name="Comma" xfId="1" builtinId="3"/>
    <cellStyle name="Comma 2" xfId="5"/>
    <cellStyle name="Comma 3" xfId="8"/>
    <cellStyle name="Currency 2" xfId="6"/>
    <cellStyle name="FRxAmtStyle" xfId="7"/>
    <cellStyle name="Normal" xfId="0" builtinId="0"/>
    <cellStyle name="Normal 2" xfId="2"/>
    <cellStyle name="Normal 2 2" xfId="4"/>
    <cellStyle name="Normal 3" xfId="3"/>
    <cellStyle name="Not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3-1%20-%20Analytical%20Revie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%2072\Desktop\EDC\2009%20Audit\Entity%20Folders\EDC\Report\FY06\Documents%20and%20Settings\Administrator\My%20Documents\Leawood\GASB34%20Rpt%20draft%20as%20of%200411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brown\Desktop\Feb2016.csv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brown\Desktop\Export1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Tickmarks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Net Assets Not Lnkd"/>
      <sheetName val="Net Activities not lnkd"/>
      <sheetName val="gpfs - balance sheet"/>
      <sheetName val="gpfs - rev&amp;exp"/>
      <sheetName val="Recon Fund Balances"/>
      <sheetName val="Recon Change Net Assets"/>
      <sheetName val="Nonmajor - Combining BS"/>
      <sheetName val="Nonmajor - Combining Rev&amp;Exp"/>
      <sheetName val="Proprietary - Balance Sheet"/>
      <sheetName val="Proprietary-stmt activities"/>
      <sheetName val="Proprietary - cash flows"/>
      <sheetName val="Cash Flow Wkst"/>
      <sheetName val="Gen. fund Exp."/>
      <sheetName val="Fiduciary Fund Stmt Net Assets"/>
      <sheetName val="gpfs - budget vs actual"/>
      <sheetName val="GAAP to Budget Expend."/>
      <sheetName val="SR - Individual"/>
      <sheetName val="BS-All funds"/>
      <sheetName val="RevExp-Fund pres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2016"/>
    </sheetNames>
    <sheetDataSet>
      <sheetData sheetId="0">
        <row r="9">
          <cell r="B9" t="str">
            <v>000-1101-000</v>
          </cell>
          <cell r="C9" t="str">
            <v>Cash - NSP</v>
          </cell>
          <cell r="D9">
            <v>7215.91</v>
          </cell>
          <cell r="E9">
            <v>16764</v>
          </cell>
          <cell r="F9">
            <v>23979.91</v>
          </cell>
          <cell r="G9">
            <v>-7215.91</v>
          </cell>
          <cell r="H9">
            <v>0</v>
          </cell>
        </row>
        <row r="10">
          <cell r="B10" t="str">
            <v>000-1105-000</v>
          </cell>
          <cell r="C10" t="str">
            <v>Cash - Payroll</v>
          </cell>
          <cell r="D10">
            <v>0</v>
          </cell>
          <cell r="E10">
            <v>2269687.98</v>
          </cell>
          <cell r="F10">
            <v>2269687.98</v>
          </cell>
          <cell r="G10">
            <v>0</v>
          </cell>
          <cell r="H10">
            <v>0</v>
          </cell>
        </row>
        <row r="11">
          <cell r="B11" t="str">
            <v>000-1110-000</v>
          </cell>
          <cell r="C11" t="str">
            <v>Petty Cash</v>
          </cell>
          <cell r="D11">
            <v>54.92</v>
          </cell>
          <cell r="E11">
            <v>0</v>
          </cell>
          <cell r="F11">
            <v>0</v>
          </cell>
          <cell r="G11">
            <v>0</v>
          </cell>
          <cell r="H11">
            <v>54.92</v>
          </cell>
        </row>
        <row r="12">
          <cell r="B12" t="str">
            <v>000-1115-000</v>
          </cell>
          <cell r="C12" t="str">
            <v>cash - EDC General</v>
          </cell>
          <cell r="D12">
            <v>509671.43</v>
          </cell>
          <cell r="E12">
            <v>5204915.46</v>
          </cell>
          <cell r="F12">
            <v>4834720.3099999996</v>
          </cell>
          <cell r="G12">
            <v>370195.15</v>
          </cell>
          <cell r="H12">
            <v>879866.58</v>
          </cell>
        </row>
        <row r="13">
          <cell r="B13" t="str">
            <v>000-1117-000</v>
          </cell>
          <cell r="C13" t="str">
            <v>PC Replacement Program</v>
          </cell>
          <cell r="D13">
            <v>0</v>
          </cell>
          <cell r="E13">
            <v>70000</v>
          </cell>
          <cell r="F13">
            <v>0</v>
          </cell>
          <cell r="G13">
            <v>70000</v>
          </cell>
          <cell r="H13">
            <v>70000</v>
          </cell>
        </row>
        <row r="14">
          <cell r="B14" t="str">
            <v>000-1119-000</v>
          </cell>
          <cell r="C14" t="str">
            <v>EDC Reserve Account</v>
          </cell>
          <cell r="D14">
            <v>390779.26</v>
          </cell>
          <cell r="E14">
            <v>725640.92</v>
          </cell>
          <cell r="F14">
            <v>1037520</v>
          </cell>
          <cell r="G14">
            <v>-311879.08</v>
          </cell>
          <cell r="H14">
            <v>78900.179999999993</v>
          </cell>
        </row>
        <row r="15">
          <cell r="B15" t="str">
            <v>000-1120-000</v>
          </cell>
          <cell r="C15" t="str">
            <v>EDC Investments</v>
          </cell>
          <cell r="D15">
            <v>617105</v>
          </cell>
          <cell r="E15">
            <v>876.63</v>
          </cell>
          <cell r="F15">
            <v>0</v>
          </cell>
          <cell r="G15">
            <v>876.63</v>
          </cell>
          <cell r="H15">
            <v>617981.63</v>
          </cell>
        </row>
        <row r="16">
          <cell r="B16" t="str">
            <v>000-1175-000</v>
          </cell>
          <cell r="C16" t="str">
            <v>Prepaid Insurance</v>
          </cell>
          <cell r="D16">
            <v>52989.86</v>
          </cell>
          <cell r="E16">
            <v>100408.32000000001</v>
          </cell>
          <cell r="F16">
            <v>93288.13</v>
          </cell>
          <cell r="G16">
            <v>7120.19</v>
          </cell>
          <cell r="H16">
            <v>60110.05</v>
          </cell>
        </row>
        <row r="17">
          <cell r="B17" t="str">
            <v>000-1180-000</v>
          </cell>
          <cell r="C17" t="str">
            <v>Prepaid Expenses</v>
          </cell>
          <cell r="D17">
            <v>59882.44</v>
          </cell>
          <cell r="E17">
            <v>170582.26</v>
          </cell>
          <cell r="F17">
            <v>175848.8</v>
          </cell>
          <cell r="G17">
            <v>-5266.54</v>
          </cell>
          <cell r="H17">
            <v>54615.9</v>
          </cell>
        </row>
        <row r="18">
          <cell r="B18" t="str">
            <v>000-1200-000</v>
          </cell>
          <cell r="C18" t="str">
            <v>Accounts Receivable</v>
          </cell>
          <cell r="D18">
            <v>817846.74</v>
          </cell>
          <cell r="E18">
            <v>115933.45</v>
          </cell>
          <cell r="F18">
            <v>904582.84</v>
          </cell>
          <cell r="G18">
            <v>-788649.39</v>
          </cell>
          <cell r="H18">
            <v>29197.35</v>
          </cell>
        </row>
        <row r="19">
          <cell r="B19" t="str">
            <v>000-1201-000</v>
          </cell>
          <cell r="C19" t="str">
            <v>Accounts Receivable-Related Party</v>
          </cell>
          <cell r="D19">
            <v>56</v>
          </cell>
          <cell r="E19">
            <v>22941.39</v>
          </cell>
          <cell r="F19">
            <v>22928.39</v>
          </cell>
          <cell r="G19">
            <v>13</v>
          </cell>
          <cell r="H19">
            <v>69</v>
          </cell>
        </row>
        <row r="20">
          <cell r="B20" t="str">
            <v>000-1203-000</v>
          </cell>
          <cell r="C20" t="str">
            <v>Accounts Receivable - NSP</v>
          </cell>
          <cell r="D20">
            <v>67.2</v>
          </cell>
          <cell r="E20">
            <v>5874.64</v>
          </cell>
          <cell r="F20">
            <v>5941.84</v>
          </cell>
          <cell r="G20">
            <v>-67.2</v>
          </cell>
          <cell r="H20">
            <v>0</v>
          </cell>
        </row>
        <row r="21">
          <cell r="B21" t="str">
            <v>000-1204-000</v>
          </cell>
          <cell r="C21" t="str">
            <v>Due from EDC Loan</v>
          </cell>
          <cell r="D21">
            <v>17127.72</v>
          </cell>
          <cell r="E21">
            <v>1254854.2</v>
          </cell>
          <cell r="F21">
            <v>1268871.42</v>
          </cell>
          <cell r="G21">
            <v>-14017.22</v>
          </cell>
          <cell r="H21">
            <v>3110.5</v>
          </cell>
        </row>
        <row r="22">
          <cell r="B22" t="str">
            <v>000-1210-000</v>
          </cell>
          <cell r="C22" t="str">
            <v>Accrued Interest Receivable</v>
          </cell>
          <cell r="D22">
            <v>792.93</v>
          </cell>
          <cell r="E22">
            <v>197.82</v>
          </cell>
          <cell r="F22">
            <v>80.53</v>
          </cell>
          <cell r="G22">
            <v>117.29</v>
          </cell>
          <cell r="H22">
            <v>910.22</v>
          </cell>
        </row>
        <row r="23">
          <cell r="B23" t="str">
            <v>000-1500-000</v>
          </cell>
          <cell r="C23" t="str">
            <v>Furniture &amp; Fixtures</v>
          </cell>
          <cell r="D23">
            <v>279833.3</v>
          </cell>
          <cell r="E23">
            <v>10840.7</v>
          </cell>
          <cell r="F23">
            <v>0</v>
          </cell>
          <cell r="G23">
            <v>10840.7</v>
          </cell>
          <cell r="H23">
            <v>290674</v>
          </cell>
        </row>
        <row r="24">
          <cell r="B24" t="str">
            <v>000-1505-000</v>
          </cell>
          <cell r="C24" t="str">
            <v>Leasehold Improvements</v>
          </cell>
          <cell r="D24">
            <v>22432.25</v>
          </cell>
          <cell r="E24">
            <v>8925</v>
          </cell>
          <cell r="F24">
            <v>0</v>
          </cell>
          <cell r="G24">
            <v>8925</v>
          </cell>
          <cell r="H24">
            <v>31357.25</v>
          </cell>
        </row>
        <row r="25">
          <cell r="B25" t="str">
            <v>000-1510-000</v>
          </cell>
          <cell r="C25" t="str">
            <v>Computer Hardware</v>
          </cell>
          <cell r="D25">
            <v>270371.12</v>
          </cell>
          <cell r="E25">
            <v>1490.39</v>
          </cell>
          <cell r="F25">
            <v>0</v>
          </cell>
          <cell r="G25">
            <v>1490.39</v>
          </cell>
          <cell r="H25">
            <v>271861.51</v>
          </cell>
        </row>
        <row r="26">
          <cell r="B26" t="str">
            <v>000-1515-000</v>
          </cell>
          <cell r="C26" t="str">
            <v>Computer Software</v>
          </cell>
          <cell r="D26">
            <v>50586.71</v>
          </cell>
          <cell r="E26">
            <v>6030</v>
          </cell>
          <cell r="F26">
            <v>0</v>
          </cell>
          <cell r="G26">
            <v>6030</v>
          </cell>
          <cell r="H26">
            <v>56616.71</v>
          </cell>
        </row>
        <row r="27">
          <cell r="B27" t="str">
            <v>000-1520-000</v>
          </cell>
          <cell r="C27" t="str">
            <v>Additional Fixed Assets</v>
          </cell>
          <cell r="D27">
            <v>512.96</v>
          </cell>
          <cell r="E27">
            <v>0</v>
          </cell>
          <cell r="F27">
            <v>512.96</v>
          </cell>
          <cell r="G27">
            <v>-512.96</v>
          </cell>
          <cell r="H27">
            <v>0</v>
          </cell>
        </row>
        <row r="28">
          <cell r="B28" t="str">
            <v>000-1610-000</v>
          </cell>
          <cell r="C28" t="str">
            <v>Accum. Depr. Comp. Hardware</v>
          </cell>
          <cell r="D28">
            <v>-260599.62</v>
          </cell>
          <cell r="E28">
            <v>0</v>
          </cell>
          <cell r="F28">
            <v>5807.63</v>
          </cell>
          <cell r="G28">
            <v>-5807.63</v>
          </cell>
          <cell r="H28">
            <v>-266407.25</v>
          </cell>
        </row>
        <row r="29">
          <cell r="B29" t="str">
            <v>000-1620-000</v>
          </cell>
          <cell r="C29" t="str">
            <v>Accum. Depr. Comp. Software</v>
          </cell>
          <cell r="D29">
            <v>-50586.71</v>
          </cell>
          <cell r="E29">
            <v>0</v>
          </cell>
          <cell r="F29">
            <v>1342.4</v>
          </cell>
          <cell r="G29">
            <v>-1342.4</v>
          </cell>
          <cell r="H29">
            <v>-51929.11</v>
          </cell>
        </row>
        <row r="30">
          <cell r="B30" t="str">
            <v>000-1630-000</v>
          </cell>
          <cell r="C30" t="str">
            <v>Accum. Depr. Furn. &amp; Fixtures</v>
          </cell>
          <cell r="D30">
            <v>-277187.64</v>
          </cell>
          <cell r="E30">
            <v>0</v>
          </cell>
          <cell r="F30">
            <v>2404.44</v>
          </cell>
          <cell r="G30">
            <v>-2404.44</v>
          </cell>
          <cell r="H30">
            <v>-279592.08</v>
          </cell>
        </row>
        <row r="31">
          <cell r="B31" t="str">
            <v>000-1640-000</v>
          </cell>
          <cell r="C31" t="str">
            <v>Accum. Depr. Leasehold Improv.</v>
          </cell>
          <cell r="D31">
            <v>-15757.44</v>
          </cell>
          <cell r="E31">
            <v>0</v>
          </cell>
          <cell r="F31">
            <v>1926.08</v>
          </cell>
          <cell r="G31">
            <v>-1926.08</v>
          </cell>
          <cell r="H31">
            <v>-17683.52</v>
          </cell>
        </row>
        <row r="32">
          <cell r="B32" t="str">
            <v>000-2000-000</v>
          </cell>
          <cell r="C32" t="str">
            <v>Accounts Payable</v>
          </cell>
          <cell r="D32">
            <v>-95237.2</v>
          </cell>
          <cell r="E32">
            <v>2374033.64</v>
          </cell>
          <cell r="F32">
            <v>2308972.62</v>
          </cell>
          <cell r="G32">
            <v>65061.02</v>
          </cell>
          <cell r="H32">
            <v>-30176.18</v>
          </cell>
        </row>
        <row r="33">
          <cell r="B33" t="str">
            <v>000-2003-000</v>
          </cell>
          <cell r="C33" t="str">
            <v>Accounts Payable - NSP</v>
          </cell>
          <cell r="D33">
            <v>-1273.79</v>
          </cell>
          <cell r="E33">
            <v>20128.09</v>
          </cell>
          <cell r="F33">
            <v>19248.3</v>
          </cell>
          <cell r="G33">
            <v>879.79</v>
          </cell>
          <cell r="H33">
            <v>-394</v>
          </cell>
        </row>
        <row r="34">
          <cell r="B34" t="str">
            <v>000-2005-000</v>
          </cell>
          <cell r="C34" t="str">
            <v>Accrued Liabilities</v>
          </cell>
          <cell r="D34">
            <v>-33755.5</v>
          </cell>
          <cell r="E34">
            <v>33755.5</v>
          </cell>
          <cell r="F34">
            <v>60745</v>
          </cell>
          <cell r="G34">
            <v>-26989.5</v>
          </cell>
          <cell r="H34">
            <v>-60745</v>
          </cell>
        </row>
        <row r="35">
          <cell r="B35" t="str">
            <v>000-2006-000</v>
          </cell>
          <cell r="C35" t="str">
            <v>Accrued Payroll Expenses</v>
          </cell>
          <cell r="D35">
            <v>-157404.1</v>
          </cell>
          <cell r="E35">
            <v>2950117.12</v>
          </cell>
          <cell r="F35">
            <v>2792712.97</v>
          </cell>
          <cell r="G35">
            <v>157404.15</v>
          </cell>
          <cell r="H35">
            <v>0.05</v>
          </cell>
        </row>
        <row r="36">
          <cell r="B36" t="str">
            <v>000-2080-000</v>
          </cell>
          <cell r="C36" t="str">
            <v>401K Contributuion Withheld</v>
          </cell>
          <cell r="D36">
            <v>-5781.24</v>
          </cell>
          <cell r="E36">
            <v>137328.32000000001</v>
          </cell>
          <cell r="F36">
            <v>143984.4</v>
          </cell>
          <cell r="G36">
            <v>-6656.08</v>
          </cell>
          <cell r="H36">
            <v>-12437.32</v>
          </cell>
        </row>
        <row r="37">
          <cell r="B37" t="str">
            <v>000-2085-000</v>
          </cell>
          <cell r="C37" t="str">
            <v>401K Employer Match Liability</v>
          </cell>
          <cell r="D37">
            <v>-7902.96</v>
          </cell>
          <cell r="E37">
            <v>153447.07999999999</v>
          </cell>
          <cell r="F37">
            <v>159233.97</v>
          </cell>
          <cell r="G37">
            <v>-5786.89</v>
          </cell>
          <cell r="H37">
            <v>-13689.85</v>
          </cell>
        </row>
        <row r="38">
          <cell r="B38" t="str">
            <v>000-2100-000</v>
          </cell>
          <cell r="C38" t="str">
            <v>United Way Contr. Withheld</v>
          </cell>
          <cell r="D38">
            <v>-2101.46</v>
          </cell>
          <cell r="E38">
            <v>6458.76</v>
          </cell>
          <cell r="F38">
            <v>4563.3</v>
          </cell>
          <cell r="G38">
            <v>1895.46</v>
          </cell>
          <cell r="H38">
            <v>-206</v>
          </cell>
        </row>
        <row r="39">
          <cell r="B39" t="str">
            <v>000-2110-000</v>
          </cell>
          <cell r="C39" t="str">
            <v>Personal Leave Accrual</v>
          </cell>
          <cell r="D39">
            <v>-42172.25</v>
          </cell>
          <cell r="E39">
            <v>2719.44</v>
          </cell>
          <cell r="F39">
            <v>2719.44</v>
          </cell>
          <cell r="G39">
            <v>0</v>
          </cell>
          <cell r="H39">
            <v>-42172.25</v>
          </cell>
        </row>
        <row r="40">
          <cell r="B40" t="str">
            <v>000-2115-000</v>
          </cell>
          <cell r="C40" t="str">
            <v>Cafeteria Plan Liability</v>
          </cell>
          <cell r="D40">
            <v>1946.56</v>
          </cell>
          <cell r="E40">
            <v>23125.8</v>
          </cell>
          <cell r="F40">
            <v>29113.5</v>
          </cell>
          <cell r="G40">
            <v>-5987.7</v>
          </cell>
          <cell r="H40">
            <v>-4041.14</v>
          </cell>
        </row>
        <row r="41">
          <cell r="B41" t="str">
            <v>000-2200-000</v>
          </cell>
          <cell r="C41" t="str">
            <v>Deferred Revenue</v>
          </cell>
          <cell r="D41">
            <v>-142962.5</v>
          </cell>
          <cell r="E41">
            <v>246466.35</v>
          </cell>
          <cell r="F41">
            <v>244233.1</v>
          </cell>
          <cell r="G41">
            <v>2233.25</v>
          </cell>
          <cell r="H41">
            <v>-140729.25</v>
          </cell>
        </row>
        <row r="42">
          <cell r="B42" t="str">
            <v>000-2201-000</v>
          </cell>
          <cell r="C42" t="str">
            <v>Deferred Revenue-Cornerstone</v>
          </cell>
          <cell r="D42">
            <v>0</v>
          </cell>
          <cell r="E42">
            <v>0</v>
          </cell>
          <cell r="F42">
            <v>63728.44</v>
          </cell>
          <cell r="G42">
            <v>-63728.44</v>
          </cell>
          <cell r="H42">
            <v>-63728.44</v>
          </cell>
        </row>
        <row r="43">
          <cell r="B43" t="str">
            <v>000-2250-000</v>
          </cell>
          <cell r="C43" t="str">
            <v>Deferred Credit - Lease Incentive</v>
          </cell>
          <cell r="D43">
            <v>-126193.36</v>
          </cell>
          <cell r="E43">
            <v>15120.4</v>
          </cell>
          <cell r="F43">
            <v>0</v>
          </cell>
          <cell r="G43">
            <v>15120.4</v>
          </cell>
          <cell r="H43">
            <v>-111072.96000000001</v>
          </cell>
        </row>
        <row r="44">
          <cell r="B44" t="str">
            <v>000-2900-000</v>
          </cell>
          <cell r="C44" t="str">
            <v>Fund Balance</v>
          </cell>
          <cell r="D44">
            <v>-1880356.54</v>
          </cell>
          <cell r="E44">
            <v>505942</v>
          </cell>
          <cell r="F44">
            <v>382500</v>
          </cell>
          <cell r="G44">
            <v>123442</v>
          </cell>
          <cell r="H44">
            <v>-1756914.54</v>
          </cell>
        </row>
        <row r="45">
          <cell r="B45" t="str">
            <v>000-2901-000</v>
          </cell>
          <cell r="C45" t="str">
            <v>Fund Balance-PC Replacement Pr-</v>
          </cell>
          <cell r="D45">
            <v>0</v>
          </cell>
          <cell r="E45">
            <v>0</v>
          </cell>
          <cell r="F45">
            <v>70000</v>
          </cell>
          <cell r="G45">
            <v>-70000</v>
          </cell>
          <cell r="H45">
            <v>-70000</v>
          </cell>
        </row>
        <row r="46">
          <cell r="B46" t="str">
            <v>000-3000-000</v>
          </cell>
          <cell r="C46" t="str">
            <v>City - General Fund</v>
          </cell>
          <cell r="D46">
            <v>0</v>
          </cell>
          <cell r="E46">
            <v>345000</v>
          </cell>
          <cell r="F46">
            <v>1220000</v>
          </cell>
          <cell r="G46">
            <v>-875000</v>
          </cell>
          <cell r="H46">
            <v>-875000</v>
          </cell>
        </row>
        <row r="47">
          <cell r="B47" t="str">
            <v>000-3300-000</v>
          </cell>
          <cell r="C47" t="str">
            <v>KCIC Fees</v>
          </cell>
          <cell r="D47">
            <v>0</v>
          </cell>
          <cell r="E47">
            <v>0</v>
          </cell>
          <cell r="F47">
            <v>9000</v>
          </cell>
          <cell r="G47">
            <v>-9000</v>
          </cell>
          <cell r="H47">
            <v>-9000</v>
          </cell>
        </row>
        <row r="48">
          <cell r="B48" t="str">
            <v>000-4000-000</v>
          </cell>
          <cell r="C48" t="str">
            <v>Loan Corp Fees</v>
          </cell>
          <cell r="D48">
            <v>0</v>
          </cell>
          <cell r="E48">
            <v>10000</v>
          </cell>
          <cell r="F48">
            <v>10000</v>
          </cell>
          <cell r="G48">
            <v>0</v>
          </cell>
          <cell r="H48">
            <v>0</v>
          </cell>
        </row>
        <row r="49">
          <cell r="B49" t="str">
            <v>000-4025-000</v>
          </cell>
          <cell r="C49" t="str">
            <v>EDC PIEA Fee Revenue</v>
          </cell>
          <cell r="D49">
            <v>0</v>
          </cell>
          <cell r="E49">
            <v>0</v>
          </cell>
          <cell r="F49">
            <v>10850</v>
          </cell>
          <cell r="G49">
            <v>-10850</v>
          </cell>
          <cell r="H49">
            <v>-10850</v>
          </cell>
        </row>
        <row r="50">
          <cell r="B50" t="str">
            <v>000-4040-000</v>
          </cell>
          <cell r="C50" t="str">
            <v>IDA Fees</v>
          </cell>
          <cell r="D50">
            <v>0</v>
          </cell>
          <cell r="E50">
            <v>3400</v>
          </cell>
          <cell r="F50">
            <v>18700</v>
          </cell>
          <cell r="G50">
            <v>-15300</v>
          </cell>
          <cell r="H50">
            <v>-15300</v>
          </cell>
        </row>
        <row r="51">
          <cell r="B51" t="str">
            <v>000-4050-000</v>
          </cell>
          <cell r="C51" t="str">
            <v>LCRA Fees</v>
          </cell>
          <cell r="D51">
            <v>0</v>
          </cell>
          <cell r="E51">
            <v>0</v>
          </cell>
          <cell r="F51">
            <v>50000</v>
          </cell>
          <cell r="G51">
            <v>-50000</v>
          </cell>
          <cell r="H51">
            <v>-50000</v>
          </cell>
        </row>
        <row r="52">
          <cell r="B52" t="str">
            <v>000-4080-000</v>
          </cell>
          <cell r="C52" t="str">
            <v>TIF Fees</v>
          </cell>
          <cell r="D52">
            <v>0</v>
          </cell>
          <cell r="E52">
            <v>0</v>
          </cell>
          <cell r="F52">
            <v>2000000</v>
          </cell>
          <cell r="G52">
            <v>-2000000</v>
          </cell>
          <cell r="H52">
            <v>-2000000</v>
          </cell>
        </row>
        <row r="53">
          <cell r="B53" t="str">
            <v>000-4300-000</v>
          </cell>
          <cell r="C53" t="str">
            <v>Interest Income</v>
          </cell>
          <cell r="D53">
            <v>0</v>
          </cell>
          <cell r="E53">
            <v>0</v>
          </cell>
          <cell r="F53">
            <v>2429.56</v>
          </cell>
          <cell r="G53">
            <v>-2429.56</v>
          </cell>
          <cell r="H53">
            <v>-2429.56</v>
          </cell>
        </row>
        <row r="54">
          <cell r="B54" t="str">
            <v>000-4500-000</v>
          </cell>
          <cell r="C54" t="str">
            <v>Photocopy Recovery</v>
          </cell>
          <cell r="D54">
            <v>0</v>
          </cell>
          <cell r="E54">
            <v>13591.81</v>
          </cell>
          <cell r="F54">
            <v>44658.6</v>
          </cell>
          <cell r="G54">
            <v>-31066.79</v>
          </cell>
          <cell r="H54">
            <v>-31066.79</v>
          </cell>
        </row>
        <row r="55">
          <cell r="B55" t="str">
            <v>000-4600-000</v>
          </cell>
          <cell r="C55" t="str">
            <v>Postage Recovery</v>
          </cell>
          <cell r="D55">
            <v>0</v>
          </cell>
          <cell r="E55">
            <v>181.39</v>
          </cell>
          <cell r="F55">
            <v>2266.77</v>
          </cell>
          <cell r="G55">
            <v>-2085.38</v>
          </cell>
          <cell r="H55">
            <v>-2085.38</v>
          </cell>
        </row>
        <row r="56">
          <cell r="B56" t="str">
            <v>000-5399-000</v>
          </cell>
          <cell r="C56" t="str">
            <v>Miscellaneous Expenses</v>
          </cell>
          <cell r="D56">
            <v>0</v>
          </cell>
          <cell r="E56">
            <v>117.45</v>
          </cell>
          <cell r="F56">
            <v>8.01</v>
          </cell>
          <cell r="G56">
            <v>109.44</v>
          </cell>
          <cell r="H56">
            <v>109.44</v>
          </cell>
        </row>
        <row r="57">
          <cell r="B57" t="str">
            <v>000-6040-000</v>
          </cell>
          <cell r="C57" t="str">
            <v>Contribution Exp</v>
          </cell>
          <cell r="D57">
            <v>0</v>
          </cell>
          <cell r="E57">
            <v>500</v>
          </cell>
          <cell r="F57">
            <v>2300</v>
          </cell>
          <cell r="G57">
            <v>-1800</v>
          </cell>
          <cell r="H57">
            <v>-1800</v>
          </cell>
        </row>
        <row r="58">
          <cell r="B58" t="str">
            <v>000-6510-000</v>
          </cell>
          <cell r="C58" t="str">
            <v>Legal Services</v>
          </cell>
          <cell r="D58">
            <v>0</v>
          </cell>
          <cell r="E58">
            <v>4755.5</v>
          </cell>
          <cell r="F58">
            <v>4755.5</v>
          </cell>
          <cell r="G58">
            <v>0</v>
          </cell>
          <cell r="H58">
            <v>0</v>
          </cell>
        </row>
        <row r="59">
          <cell r="B59" t="str">
            <v>005-5220-000</v>
          </cell>
          <cell r="C59" t="str">
            <v>Life Insurance</v>
          </cell>
          <cell r="D59">
            <v>0</v>
          </cell>
          <cell r="E59">
            <v>0</v>
          </cell>
          <cell r="F59">
            <v>26.97</v>
          </cell>
          <cell r="G59">
            <v>-26.97</v>
          </cell>
          <cell r="H59">
            <v>-26.97</v>
          </cell>
        </row>
        <row r="60">
          <cell r="B60" t="str">
            <v>010-5010-000</v>
          </cell>
          <cell r="C60" t="str">
            <v>Compensation</v>
          </cell>
          <cell r="D60">
            <v>0</v>
          </cell>
          <cell r="E60">
            <v>562712.78</v>
          </cell>
          <cell r="F60">
            <v>244345.66</v>
          </cell>
          <cell r="G60">
            <v>318367.12</v>
          </cell>
          <cell r="H60">
            <v>318367.12</v>
          </cell>
        </row>
        <row r="61">
          <cell r="B61" t="str">
            <v>010-5120-000</v>
          </cell>
          <cell r="C61" t="str">
            <v>Payroll Taxes-FICA/Medicare</v>
          </cell>
          <cell r="D61">
            <v>0</v>
          </cell>
          <cell r="E61">
            <v>40504.65</v>
          </cell>
          <cell r="F61">
            <v>13961.42</v>
          </cell>
          <cell r="G61">
            <v>26543.23</v>
          </cell>
          <cell r="H61">
            <v>26543.23</v>
          </cell>
        </row>
        <row r="62">
          <cell r="B62" t="str">
            <v>010-5130-000</v>
          </cell>
          <cell r="C62" t="str">
            <v>Unemployment Taxes - FUTA/SUTA</v>
          </cell>
          <cell r="D62">
            <v>0</v>
          </cell>
          <cell r="E62">
            <v>9619.02</v>
          </cell>
          <cell r="F62">
            <v>2546.19</v>
          </cell>
          <cell r="G62">
            <v>7072.83</v>
          </cell>
          <cell r="H62">
            <v>7072.83</v>
          </cell>
        </row>
        <row r="63">
          <cell r="B63" t="str">
            <v>010-5200-000</v>
          </cell>
          <cell r="C63" t="str">
            <v>Employee Parking</v>
          </cell>
          <cell r="D63">
            <v>0</v>
          </cell>
          <cell r="E63">
            <v>17400.82</v>
          </cell>
          <cell r="F63">
            <v>7072.18</v>
          </cell>
          <cell r="G63">
            <v>10328.64</v>
          </cell>
          <cell r="H63">
            <v>10328.64</v>
          </cell>
        </row>
        <row r="64">
          <cell r="B64" t="str">
            <v>010-5210-000</v>
          </cell>
          <cell r="C64" t="str">
            <v>Medical Insurance</v>
          </cell>
          <cell r="D64">
            <v>0</v>
          </cell>
          <cell r="E64">
            <v>83066.53</v>
          </cell>
          <cell r="F64">
            <v>48988.88</v>
          </cell>
          <cell r="G64">
            <v>34077.65</v>
          </cell>
          <cell r="H64">
            <v>34077.65</v>
          </cell>
        </row>
        <row r="65">
          <cell r="B65" t="str">
            <v>010-5220-000</v>
          </cell>
          <cell r="C65" t="str">
            <v>Life Insurance</v>
          </cell>
          <cell r="D65">
            <v>0</v>
          </cell>
          <cell r="E65">
            <v>4427.83</v>
          </cell>
          <cell r="F65">
            <v>2408.13</v>
          </cell>
          <cell r="G65">
            <v>2019.7</v>
          </cell>
          <cell r="H65">
            <v>2019.7</v>
          </cell>
        </row>
        <row r="66">
          <cell r="B66" t="str">
            <v>010-5230-000</v>
          </cell>
          <cell r="C66" t="str">
            <v>Dental Insurance</v>
          </cell>
          <cell r="D66">
            <v>0</v>
          </cell>
          <cell r="E66">
            <v>4039.7</v>
          </cell>
          <cell r="F66">
            <v>1903.95</v>
          </cell>
          <cell r="G66">
            <v>2135.75</v>
          </cell>
          <cell r="H66">
            <v>2135.75</v>
          </cell>
        </row>
        <row r="67">
          <cell r="B67" t="str">
            <v>010-5240-000</v>
          </cell>
          <cell r="C67" t="str">
            <v>Vision Insurance</v>
          </cell>
          <cell r="D67">
            <v>0</v>
          </cell>
          <cell r="E67">
            <v>2315.9699999999998</v>
          </cell>
          <cell r="F67">
            <v>1190.27</v>
          </cell>
          <cell r="G67">
            <v>1125.7</v>
          </cell>
          <cell r="H67">
            <v>1125.7</v>
          </cell>
        </row>
        <row r="68">
          <cell r="B68" t="str">
            <v>010-5250-000</v>
          </cell>
          <cell r="C68" t="str">
            <v>Disability Insurance</v>
          </cell>
          <cell r="D68">
            <v>0</v>
          </cell>
          <cell r="E68">
            <v>5824.36</v>
          </cell>
          <cell r="F68">
            <v>0</v>
          </cell>
          <cell r="G68">
            <v>5824.36</v>
          </cell>
          <cell r="H68">
            <v>5824.36</v>
          </cell>
        </row>
        <row r="69">
          <cell r="B69" t="str">
            <v>010-5270-000</v>
          </cell>
          <cell r="C69" t="str">
            <v>401K Contribution</v>
          </cell>
          <cell r="D69">
            <v>0</v>
          </cell>
          <cell r="E69">
            <v>42851.35</v>
          </cell>
          <cell r="F69">
            <v>22347.37</v>
          </cell>
          <cell r="G69">
            <v>20503.98</v>
          </cell>
          <cell r="H69">
            <v>20503.98</v>
          </cell>
        </row>
        <row r="70">
          <cell r="B70" t="str">
            <v>010-5300-000</v>
          </cell>
          <cell r="C70" t="str">
            <v>Travel &amp; Entertainment</v>
          </cell>
          <cell r="D70">
            <v>0</v>
          </cell>
          <cell r="E70">
            <v>7604.44</v>
          </cell>
          <cell r="F70">
            <v>3657.47</v>
          </cell>
          <cell r="G70">
            <v>3946.97</v>
          </cell>
          <cell r="H70">
            <v>3946.97</v>
          </cell>
        </row>
        <row r="71">
          <cell r="B71" t="str">
            <v>010-5310-000</v>
          </cell>
          <cell r="C71" t="str">
            <v>Professional Activities</v>
          </cell>
          <cell r="D71">
            <v>0</v>
          </cell>
          <cell r="E71">
            <v>7071.44</v>
          </cell>
          <cell r="F71">
            <v>399</v>
          </cell>
          <cell r="G71">
            <v>6672.44</v>
          </cell>
          <cell r="H71">
            <v>6672.44</v>
          </cell>
        </row>
        <row r="72">
          <cell r="B72" t="str">
            <v>010-5320-000</v>
          </cell>
          <cell r="C72" t="str">
            <v>Continuing Education</v>
          </cell>
          <cell r="D72">
            <v>0</v>
          </cell>
          <cell r="E72">
            <v>2135</v>
          </cell>
          <cell r="F72">
            <v>0</v>
          </cell>
          <cell r="G72">
            <v>2135</v>
          </cell>
          <cell r="H72">
            <v>2135</v>
          </cell>
        </row>
        <row r="73">
          <cell r="B73" t="str">
            <v>010-5330-000</v>
          </cell>
          <cell r="C73" t="str">
            <v>Membership Dues</v>
          </cell>
          <cell r="D73">
            <v>0</v>
          </cell>
          <cell r="E73">
            <v>5266.84</v>
          </cell>
          <cell r="F73">
            <v>1265.8399999999999</v>
          </cell>
          <cell r="G73">
            <v>4001</v>
          </cell>
          <cell r="H73">
            <v>4001</v>
          </cell>
        </row>
        <row r="74">
          <cell r="B74" t="str">
            <v>010-5340-000</v>
          </cell>
          <cell r="C74" t="str">
            <v>Subscriptions</v>
          </cell>
          <cell r="D74">
            <v>0</v>
          </cell>
          <cell r="E74">
            <v>2770.56</v>
          </cell>
          <cell r="F74">
            <v>51.84</v>
          </cell>
          <cell r="G74">
            <v>2718.72</v>
          </cell>
          <cell r="H74">
            <v>2718.72</v>
          </cell>
        </row>
        <row r="75">
          <cell r="B75" t="str">
            <v>TRIAL BALANCE SUMMARY FOR 2016</v>
          </cell>
          <cell r="C75">
            <v>42443</v>
          </cell>
          <cell r="D75">
            <v>0.59376157407407404</v>
          </cell>
          <cell r="E75" t="str">
            <v>Page:</v>
          </cell>
          <cell r="F75">
            <v>2</v>
          </cell>
          <cell r="G75" t="str">
            <v>User Date:</v>
          </cell>
          <cell r="H75">
            <v>42443</v>
          </cell>
        </row>
        <row r="77">
          <cell r="B77" t="str">
            <v>Account</v>
          </cell>
          <cell r="C77" t="str">
            <v>Description</v>
          </cell>
          <cell r="D77" t="str">
            <v>Beginning Balance</v>
          </cell>
          <cell r="E77" t="str">
            <v>Credit</v>
          </cell>
          <cell r="F77" t="str">
            <v>Net Change</v>
          </cell>
          <cell r="G77" t="str">
            <v>Ending Balance</v>
          </cell>
          <cell r="H77" t="str">
            <v>Debit</v>
          </cell>
        </row>
        <row r="78">
          <cell r="B78" t="str">
            <v>010-5350-000</v>
          </cell>
          <cell r="C78" t="str">
            <v>Advertising/Marketing</v>
          </cell>
          <cell r="D78">
            <v>0</v>
          </cell>
          <cell r="E78">
            <v>91355.22</v>
          </cell>
          <cell r="F78">
            <v>17035.419999999998</v>
          </cell>
          <cell r="G78">
            <v>74319.8</v>
          </cell>
          <cell r="H78">
            <v>74319.8</v>
          </cell>
        </row>
        <row r="79">
          <cell r="B79" t="str">
            <v>010-5399-000</v>
          </cell>
          <cell r="C79" t="str">
            <v>Miscellaneous Expenses</v>
          </cell>
          <cell r="D79">
            <v>0</v>
          </cell>
          <cell r="E79">
            <v>4743.57</v>
          </cell>
          <cell r="F79">
            <v>31.13</v>
          </cell>
          <cell r="G79">
            <v>4712.4399999999996</v>
          </cell>
          <cell r="H79">
            <v>4712.4399999999996</v>
          </cell>
        </row>
        <row r="80">
          <cell r="B80" t="str">
            <v>010-6010-000</v>
          </cell>
          <cell r="C80" t="str">
            <v>Office Supplies</v>
          </cell>
          <cell r="D80">
            <v>0</v>
          </cell>
          <cell r="E80">
            <v>39439.31</v>
          </cell>
          <cell r="F80">
            <v>826.55</v>
          </cell>
          <cell r="G80">
            <v>38612.76</v>
          </cell>
          <cell r="H80">
            <v>38612.76</v>
          </cell>
        </row>
        <row r="81">
          <cell r="B81" t="str">
            <v>010-6020-000</v>
          </cell>
          <cell r="C81" t="str">
            <v>Temporary Service</v>
          </cell>
          <cell r="D81">
            <v>0</v>
          </cell>
          <cell r="E81">
            <v>30088.61</v>
          </cell>
          <cell r="F81">
            <v>24273.46</v>
          </cell>
          <cell r="G81">
            <v>5815.15</v>
          </cell>
          <cell r="H81">
            <v>5815.15</v>
          </cell>
        </row>
        <row r="82">
          <cell r="B82" t="str">
            <v>010-6025-000</v>
          </cell>
          <cell r="C82" t="str">
            <v>Computer equipment &amp; software</v>
          </cell>
          <cell r="D82">
            <v>0</v>
          </cell>
          <cell r="E82">
            <v>11042.18</v>
          </cell>
          <cell r="F82">
            <v>8422.09</v>
          </cell>
          <cell r="G82">
            <v>2620.09</v>
          </cell>
          <cell r="H82">
            <v>2620.09</v>
          </cell>
        </row>
        <row r="83">
          <cell r="B83" t="str">
            <v>010-6040-000</v>
          </cell>
          <cell r="C83" t="str">
            <v>Contribution Expense</v>
          </cell>
          <cell r="D83">
            <v>0</v>
          </cell>
          <cell r="E83">
            <v>40553.78</v>
          </cell>
          <cell r="F83">
            <v>3490.64</v>
          </cell>
          <cell r="G83">
            <v>37063.14</v>
          </cell>
          <cell r="H83">
            <v>37063.14</v>
          </cell>
        </row>
        <row r="84">
          <cell r="B84" t="str">
            <v>010-6050-000</v>
          </cell>
          <cell r="C84" t="str">
            <v>Contribution to City-TIF software</v>
          </cell>
          <cell r="D84">
            <v>0</v>
          </cell>
          <cell r="E84">
            <v>625000</v>
          </cell>
          <cell r="F84">
            <v>312500</v>
          </cell>
          <cell r="G84">
            <v>312500</v>
          </cell>
          <cell r="H84">
            <v>312500</v>
          </cell>
        </row>
        <row r="85">
          <cell r="B85" t="str">
            <v>010-6100-000</v>
          </cell>
          <cell r="C85" t="str">
            <v>Equipment Leases - Copiers</v>
          </cell>
          <cell r="D85">
            <v>0</v>
          </cell>
          <cell r="E85">
            <v>47726.52</v>
          </cell>
          <cell r="F85">
            <v>0</v>
          </cell>
          <cell r="G85">
            <v>47726.52</v>
          </cell>
          <cell r="H85">
            <v>47726.52</v>
          </cell>
        </row>
        <row r="86">
          <cell r="B86" t="str">
            <v>010-6120-000</v>
          </cell>
          <cell r="C86" t="str">
            <v>Equipment Leases - Computers</v>
          </cell>
          <cell r="D86">
            <v>0</v>
          </cell>
          <cell r="E86">
            <v>4037.59</v>
          </cell>
          <cell r="F86">
            <v>0</v>
          </cell>
          <cell r="G86">
            <v>4037.59</v>
          </cell>
          <cell r="H86">
            <v>4037.59</v>
          </cell>
        </row>
        <row r="87">
          <cell r="B87" t="str">
            <v>010-6140-000</v>
          </cell>
          <cell r="C87" t="str">
            <v>Equipment Maint. - Computers</v>
          </cell>
          <cell r="D87">
            <v>0</v>
          </cell>
          <cell r="E87">
            <v>9933.31</v>
          </cell>
          <cell r="F87">
            <v>843.42</v>
          </cell>
          <cell r="G87">
            <v>9089.89</v>
          </cell>
          <cell r="H87">
            <v>9089.89</v>
          </cell>
        </row>
        <row r="88">
          <cell r="B88" t="str">
            <v>010-6200-000</v>
          </cell>
          <cell r="C88" t="str">
            <v>Telephone Service</v>
          </cell>
          <cell r="D88">
            <v>0</v>
          </cell>
          <cell r="E88">
            <v>12092.06</v>
          </cell>
          <cell r="F88">
            <v>0</v>
          </cell>
          <cell r="G88">
            <v>12092.06</v>
          </cell>
          <cell r="H88">
            <v>12092.06</v>
          </cell>
        </row>
        <row r="89">
          <cell r="B89" t="str">
            <v>010-6220-000</v>
          </cell>
          <cell r="C89" t="str">
            <v>Cellular Telephone Service</v>
          </cell>
          <cell r="D89">
            <v>0</v>
          </cell>
          <cell r="E89">
            <v>12013.89</v>
          </cell>
          <cell r="F89">
            <v>2158.62</v>
          </cell>
          <cell r="G89">
            <v>9855.27</v>
          </cell>
          <cell r="H89">
            <v>9855.27</v>
          </cell>
        </row>
        <row r="90">
          <cell r="B90" t="str">
            <v>010-6300-000</v>
          </cell>
          <cell r="C90" t="str">
            <v>Outside Reproduction</v>
          </cell>
          <cell r="D90">
            <v>0</v>
          </cell>
          <cell r="E90">
            <v>612.26</v>
          </cell>
          <cell r="F90">
            <v>0</v>
          </cell>
          <cell r="G90">
            <v>612.26</v>
          </cell>
          <cell r="H90">
            <v>612.26</v>
          </cell>
        </row>
        <row r="91">
          <cell r="B91" t="str">
            <v>010-6310-000</v>
          </cell>
          <cell r="C91" t="str">
            <v>Postage</v>
          </cell>
          <cell r="D91">
            <v>0</v>
          </cell>
          <cell r="E91">
            <v>12269.06</v>
          </cell>
          <cell r="F91">
            <v>4552.49</v>
          </cell>
          <cell r="G91">
            <v>7716.57</v>
          </cell>
          <cell r="H91">
            <v>7716.57</v>
          </cell>
        </row>
        <row r="92">
          <cell r="B92" t="str">
            <v>010-6320-000</v>
          </cell>
          <cell r="C92" t="str">
            <v>Office Meeting Expenses</v>
          </cell>
          <cell r="D92">
            <v>0</v>
          </cell>
          <cell r="E92">
            <v>6961.9</v>
          </cell>
          <cell r="F92">
            <v>670.41</v>
          </cell>
          <cell r="G92">
            <v>6291.49</v>
          </cell>
          <cell r="H92">
            <v>6291.49</v>
          </cell>
        </row>
        <row r="93">
          <cell r="B93" t="str">
            <v>010-6340-000</v>
          </cell>
          <cell r="C93" t="str">
            <v>Messenger Services</v>
          </cell>
          <cell r="D93">
            <v>0</v>
          </cell>
          <cell r="E93">
            <v>774.34</v>
          </cell>
          <cell r="F93">
            <v>0</v>
          </cell>
          <cell r="G93">
            <v>774.34</v>
          </cell>
          <cell r="H93">
            <v>774.34</v>
          </cell>
        </row>
        <row r="94">
          <cell r="B94" t="str">
            <v>010-6350-000</v>
          </cell>
          <cell r="C94" t="str">
            <v>EDC Board Parking</v>
          </cell>
          <cell r="D94">
            <v>0</v>
          </cell>
          <cell r="E94">
            <v>3821.47</v>
          </cell>
          <cell r="F94">
            <v>3074.95</v>
          </cell>
          <cell r="G94">
            <v>746.52</v>
          </cell>
          <cell r="H94">
            <v>746.52</v>
          </cell>
        </row>
        <row r="95">
          <cell r="B95" t="str">
            <v>010-6400-000</v>
          </cell>
          <cell r="C95" t="str">
            <v>Rent</v>
          </cell>
          <cell r="D95">
            <v>0</v>
          </cell>
          <cell r="E95">
            <v>297992.03999999998</v>
          </cell>
          <cell r="F95">
            <v>46010.44</v>
          </cell>
          <cell r="G95">
            <v>251981.6</v>
          </cell>
          <cell r="H95">
            <v>251981.6</v>
          </cell>
        </row>
        <row r="96">
          <cell r="B96" t="str">
            <v>010-6420-000</v>
          </cell>
          <cell r="C96" t="str">
            <v>Utilities</v>
          </cell>
          <cell r="D96">
            <v>0</v>
          </cell>
          <cell r="E96">
            <v>19901.22</v>
          </cell>
          <cell r="F96">
            <v>0</v>
          </cell>
          <cell r="G96">
            <v>19901.22</v>
          </cell>
          <cell r="H96">
            <v>19901.22</v>
          </cell>
        </row>
        <row r="97">
          <cell r="B97" t="str">
            <v>010-6500-000</v>
          </cell>
          <cell r="C97" t="str">
            <v>Accounting Services</v>
          </cell>
          <cell r="D97">
            <v>0</v>
          </cell>
          <cell r="E97">
            <v>48498.1</v>
          </cell>
          <cell r="F97">
            <v>27930</v>
          </cell>
          <cell r="G97">
            <v>20568.099999999999</v>
          </cell>
          <cell r="H97">
            <v>20568.099999999999</v>
          </cell>
        </row>
        <row r="98">
          <cell r="B98" t="str">
            <v>010-6510-000</v>
          </cell>
          <cell r="C98" t="str">
            <v>Legal Services</v>
          </cell>
          <cell r="D98">
            <v>0</v>
          </cell>
          <cell r="E98">
            <v>65953.710000000006</v>
          </cell>
          <cell r="F98">
            <v>11694.1</v>
          </cell>
          <cell r="G98">
            <v>54259.61</v>
          </cell>
          <cell r="H98">
            <v>54259.61</v>
          </cell>
        </row>
        <row r="99">
          <cell r="B99" t="str">
            <v>010-6520-000</v>
          </cell>
          <cell r="C99" t="str">
            <v>Recruiting Expenses</v>
          </cell>
          <cell r="D99">
            <v>0</v>
          </cell>
          <cell r="E99">
            <v>33393.5</v>
          </cell>
          <cell r="F99">
            <v>0</v>
          </cell>
          <cell r="G99">
            <v>33393.5</v>
          </cell>
          <cell r="H99">
            <v>33393.5</v>
          </cell>
        </row>
        <row r="100">
          <cell r="B100" t="str">
            <v>010-6530-000</v>
          </cell>
          <cell r="C100" t="str">
            <v>Outside Consultants</v>
          </cell>
          <cell r="D100">
            <v>0</v>
          </cell>
          <cell r="E100">
            <v>268499.03000000003</v>
          </cell>
          <cell r="F100">
            <v>63089.09</v>
          </cell>
          <cell r="G100">
            <v>205409.94</v>
          </cell>
          <cell r="H100">
            <v>205409.94</v>
          </cell>
        </row>
        <row r="101">
          <cell r="B101" t="str">
            <v>010-6600-000</v>
          </cell>
          <cell r="C101" t="str">
            <v>General Insurance</v>
          </cell>
          <cell r="D101">
            <v>0</v>
          </cell>
          <cell r="E101">
            <v>23610.35</v>
          </cell>
          <cell r="F101">
            <v>160.68</v>
          </cell>
          <cell r="G101">
            <v>23449.67</v>
          </cell>
          <cell r="H101">
            <v>23449.67</v>
          </cell>
        </row>
        <row r="102">
          <cell r="B102" t="str">
            <v>010-6710-000</v>
          </cell>
          <cell r="C102" t="str">
            <v>Bank Service Charges</v>
          </cell>
          <cell r="D102">
            <v>0</v>
          </cell>
          <cell r="E102">
            <v>1544.46</v>
          </cell>
          <cell r="F102">
            <v>0</v>
          </cell>
          <cell r="G102">
            <v>1544.46</v>
          </cell>
          <cell r="H102">
            <v>1544.46</v>
          </cell>
        </row>
        <row r="103">
          <cell r="B103" t="str">
            <v>010-6810-000</v>
          </cell>
          <cell r="C103" t="str">
            <v>Depr Expense - Computer Hardware</v>
          </cell>
          <cell r="D103">
            <v>0</v>
          </cell>
          <cell r="E103">
            <v>5807.63</v>
          </cell>
          <cell r="F103">
            <v>0</v>
          </cell>
          <cell r="G103">
            <v>5807.63</v>
          </cell>
          <cell r="H103">
            <v>5807.63</v>
          </cell>
        </row>
        <row r="104">
          <cell r="B104" t="str">
            <v>010-6820-000</v>
          </cell>
          <cell r="C104" t="str">
            <v>Depr Exp - Computer Software</v>
          </cell>
          <cell r="D104">
            <v>0</v>
          </cell>
          <cell r="E104">
            <v>1342.4</v>
          </cell>
          <cell r="F104">
            <v>0</v>
          </cell>
          <cell r="G104">
            <v>1342.4</v>
          </cell>
          <cell r="H104">
            <v>1342.4</v>
          </cell>
        </row>
        <row r="105">
          <cell r="B105" t="str">
            <v>010-6830-000</v>
          </cell>
          <cell r="C105" t="str">
            <v>Depr Exp - Furniture &amp; Fixtures</v>
          </cell>
          <cell r="D105">
            <v>0</v>
          </cell>
          <cell r="E105">
            <v>2404.44</v>
          </cell>
          <cell r="F105">
            <v>0</v>
          </cell>
          <cell r="G105">
            <v>2404.44</v>
          </cell>
          <cell r="H105">
            <v>2404.44</v>
          </cell>
        </row>
        <row r="106">
          <cell r="B106" t="str">
            <v>010-6840-000</v>
          </cell>
          <cell r="C106" t="str">
            <v>Depr Exp - Leasehold Improvements</v>
          </cell>
          <cell r="D106">
            <v>0</v>
          </cell>
          <cell r="E106">
            <v>1926.08</v>
          </cell>
          <cell r="F106">
            <v>0</v>
          </cell>
          <cell r="G106">
            <v>1926.08</v>
          </cell>
          <cell r="H106">
            <v>1926.08</v>
          </cell>
        </row>
        <row r="107">
          <cell r="B107" t="str">
            <v>010-8600-000</v>
          </cell>
          <cell r="C107" t="str">
            <v>Capital Outlay-PC Project</v>
          </cell>
          <cell r="D107">
            <v>0</v>
          </cell>
          <cell r="E107">
            <v>70000</v>
          </cell>
          <cell r="F107">
            <v>70000</v>
          </cell>
          <cell r="G107">
            <v>0</v>
          </cell>
          <cell r="H107">
            <v>0</v>
          </cell>
        </row>
        <row r="108">
          <cell r="B108" t="str">
            <v>010-8601-000</v>
          </cell>
          <cell r="C108" t="str">
            <v>Capital Outlay-Project Management</v>
          </cell>
          <cell r="D108">
            <v>0</v>
          </cell>
          <cell r="E108">
            <v>15750</v>
          </cell>
          <cell r="F108">
            <v>0</v>
          </cell>
          <cell r="G108">
            <v>15750</v>
          </cell>
          <cell r="H108">
            <v>15750</v>
          </cell>
        </row>
        <row r="109">
          <cell r="B109" t="str">
            <v>011-4100-000</v>
          </cell>
          <cell r="C109" t="str">
            <v>Cornerstone Revenue</v>
          </cell>
          <cell r="D109">
            <v>0</v>
          </cell>
          <cell r="E109">
            <v>0</v>
          </cell>
          <cell r="F109">
            <v>147362.35999999999</v>
          </cell>
          <cell r="G109">
            <v>-147362.35999999999</v>
          </cell>
          <cell r="H109">
            <v>-147362.35999999999</v>
          </cell>
        </row>
        <row r="110">
          <cell r="B110" t="str">
            <v>011-5350-000</v>
          </cell>
          <cell r="C110" t="str">
            <v>Cornerstone- - Advertising/Marketing</v>
          </cell>
          <cell r="D110">
            <v>0</v>
          </cell>
          <cell r="E110">
            <v>1000</v>
          </cell>
          <cell r="F110">
            <v>0</v>
          </cell>
          <cell r="G110">
            <v>1000</v>
          </cell>
          <cell r="H110">
            <v>1000</v>
          </cell>
        </row>
        <row r="111">
          <cell r="B111" t="str">
            <v>011-6320-000</v>
          </cell>
          <cell r="C111" t="str">
            <v>Cornerstone- - Meeting Expense</v>
          </cell>
          <cell r="D111">
            <v>0</v>
          </cell>
          <cell r="E111">
            <v>79.31</v>
          </cell>
          <cell r="F111">
            <v>0</v>
          </cell>
          <cell r="G111">
            <v>79.31</v>
          </cell>
          <cell r="H111">
            <v>79.31</v>
          </cell>
        </row>
        <row r="112">
          <cell r="B112" t="str">
            <v>011-7000-000</v>
          </cell>
          <cell r="C112" t="str">
            <v>Cornerstone Expense</v>
          </cell>
          <cell r="D112">
            <v>0</v>
          </cell>
          <cell r="E112">
            <v>106252.16</v>
          </cell>
          <cell r="F112">
            <v>5050</v>
          </cell>
          <cell r="G112">
            <v>101202.16</v>
          </cell>
          <cell r="H112">
            <v>101202.16</v>
          </cell>
        </row>
        <row r="113">
          <cell r="B113" t="str">
            <v>020-3000-000</v>
          </cell>
          <cell r="C113" t="str">
            <v>City-General Fund</v>
          </cell>
          <cell r="D113">
            <v>0</v>
          </cell>
          <cell r="E113">
            <v>0</v>
          </cell>
          <cell r="F113">
            <v>200000</v>
          </cell>
          <cell r="G113">
            <v>-200000</v>
          </cell>
          <cell r="H113">
            <v>-200000</v>
          </cell>
        </row>
        <row r="114">
          <cell r="B114" t="str">
            <v>020-5010-000</v>
          </cell>
          <cell r="C114" t="str">
            <v>Compensation</v>
          </cell>
          <cell r="D114">
            <v>0</v>
          </cell>
          <cell r="E114">
            <v>497451.94</v>
          </cell>
          <cell r="F114">
            <v>187352.88</v>
          </cell>
          <cell r="G114">
            <v>310099.06</v>
          </cell>
          <cell r="H114">
            <v>310099.06</v>
          </cell>
        </row>
        <row r="115">
          <cell r="B115" t="str">
            <v>020-5120-000</v>
          </cell>
          <cell r="C115" t="str">
            <v>Payroll Taxes-FICA Medicare</v>
          </cell>
          <cell r="D115">
            <v>0</v>
          </cell>
          <cell r="E115">
            <v>34839.910000000003</v>
          </cell>
          <cell r="F115">
            <v>10008.35</v>
          </cell>
          <cell r="G115">
            <v>24831.56</v>
          </cell>
          <cell r="H115">
            <v>24831.56</v>
          </cell>
        </row>
        <row r="116">
          <cell r="B116" t="str">
            <v>020-5200-000</v>
          </cell>
          <cell r="C116" t="str">
            <v>Employee Parking</v>
          </cell>
          <cell r="D116">
            <v>0</v>
          </cell>
          <cell r="E116">
            <v>3300</v>
          </cell>
          <cell r="F116">
            <v>330</v>
          </cell>
          <cell r="G116">
            <v>2970</v>
          </cell>
          <cell r="H116">
            <v>2970</v>
          </cell>
        </row>
        <row r="117">
          <cell r="B117" t="str">
            <v>020-5210-000</v>
          </cell>
          <cell r="C117" t="str">
            <v>Medical Insurance</v>
          </cell>
          <cell r="D117">
            <v>0</v>
          </cell>
          <cell r="E117">
            <v>36188.660000000003</v>
          </cell>
          <cell r="F117">
            <v>14609.73</v>
          </cell>
          <cell r="G117">
            <v>21578.93</v>
          </cell>
          <cell r="H117">
            <v>21578.93</v>
          </cell>
        </row>
        <row r="118">
          <cell r="B118" t="str">
            <v>020-5220-000</v>
          </cell>
          <cell r="C118" t="str">
            <v>Life Insurance</v>
          </cell>
          <cell r="D118">
            <v>0</v>
          </cell>
          <cell r="E118">
            <v>582.20000000000005</v>
          </cell>
          <cell r="F118">
            <v>0</v>
          </cell>
          <cell r="G118">
            <v>582.20000000000005</v>
          </cell>
          <cell r="H118">
            <v>582.20000000000005</v>
          </cell>
        </row>
        <row r="119">
          <cell r="B119" t="str">
            <v>020-5230-000</v>
          </cell>
          <cell r="C119" t="str">
            <v>Dental Insurance</v>
          </cell>
          <cell r="D119">
            <v>0</v>
          </cell>
          <cell r="E119">
            <v>1729.2</v>
          </cell>
          <cell r="F119">
            <v>746.2</v>
          </cell>
          <cell r="G119">
            <v>983</v>
          </cell>
          <cell r="H119">
            <v>983</v>
          </cell>
        </row>
        <row r="120">
          <cell r="B120" t="str">
            <v>020-5240-000</v>
          </cell>
          <cell r="C120" t="str">
            <v>Vision Insurance</v>
          </cell>
          <cell r="D120">
            <v>0</v>
          </cell>
          <cell r="E120">
            <v>912.78</v>
          </cell>
          <cell r="F120">
            <v>437.53</v>
          </cell>
          <cell r="G120">
            <v>475.25</v>
          </cell>
          <cell r="H120">
            <v>475.25</v>
          </cell>
        </row>
        <row r="121">
          <cell r="B121" t="str">
            <v>020-5250-000</v>
          </cell>
          <cell r="C121" t="str">
            <v>Disability Insurance</v>
          </cell>
          <cell r="D121">
            <v>0</v>
          </cell>
          <cell r="E121">
            <v>3012.04</v>
          </cell>
          <cell r="F121">
            <v>0</v>
          </cell>
          <cell r="G121">
            <v>3012.04</v>
          </cell>
          <cell r="H121">
            <v>3012.04</v>
          </cell>
        </row>
        <row r="122">
          <cell r="B122" t="str">
            <v>020-5270-000</v>
          </cell>
          <cell r="C122" t="str">
            <v>401K Contribution</v>
          </cell>
          <cell r="D122">
            <v>0</v>
          </cell>
          <cell r="E122">
            <v>34857.050000000003</v>
          </cell>
          <cell r="F122">
            <v>9196</v>
          </cell>
          <cell r="G122">
            <v>25661.05</v>
          </cell>
          <cell r="H122">
            <v>25661.05</v>
          </cell>
        </row>
        <row r="123">
          <cell r="B123" t="str">
            <v>020-5300-000</v>
          </cell>
          <cell r="C123" t="str">
            <v>Travel &amp; Entertainment</v>
          </cell>
          <cell r="D123">
            <v>0</v>
          </cell>
          <cell r="E123">
            <v>151.54</v>
          </cell>
          <cell r="F123">
            <v>0</v>
          </cell>
          <cell r="G123">
            <v>151.54</v>
          </cell>
          <cell r="H123">
            <v>151.54</v>
          </cell>
        </row>
        <row r="124">
          <cell r="B124" t="str">
            <v>020-5310-000</v>
          </cell>
          <cell r="C124" t="str">
            <v>Professional Activities</v>
          </cell>
          <cell r="D124">
            <v>0</v>
          </cell>
          <cell r="E124">
            <v>1500</v>
          </cell>
          <cell r="F124">
            <v>0</v>
          </cell>
          <cell r="G124">
            <v>1500</v>
          </cell>
          <cell r="H124">
            <v>1500</v>
          </cell>
        </row>
        <row r="125">
          <cell r="B125" t="str">
            <v>020-5330-000</v>
          </cell>
          <cell r="C125" t="str">
            <v>Membership Dues</v>
          </cell>
          <cell r="D125">
            <v>0</v>
          </cell>
          <cell r="E125">
            <v>200512.5</v>
          </cell>
          <cell r="F125">
            <v>200512.5</v>
          </cell>
          <cell r="G125">
            <v>0</v>
          </cell>
          <cell r="H125">
            <v>0</v>
          </cell>
        </row>
        <row r="126">
          <cell r="B126" t="str">
            <v>020-5331-000</v>
          </cell>
          <cell r="C126" t="str">
            <v>KCADC Membership</v>
          </cell>
          <cell r="D126">
            <v>0</v>
          </cell>
          <cell r="E126">
            <v>200000</v>
          </cell>
          <cell r="F126">
            <v>0</v>
          </cell>
          <cell r="G126">
            <v>200000</v>
          </cell>
          <cell r="H126">
            <v>200000</v>
          </cell>
        </row>
        <row r="127">
          <cell r="B127" t="str">
            <v>020-6220-000</v>
          </cell>
          <cell r="C127" t="str">
            <v>Film - Cell Phone Charges</v>
          </cell>
          <cell r="D127">
            <v>0</v>
          </cell>
          <cell r="E127">
            <v>85</v>
          </cell>
          <cell r="F127">
            <v>85</v>
          </cell>
          <cell r="G127">
            <v>0</v>
          </cell>
          <cell r="H127">
            <v>0</v>
          </cell>
        </row>
        <row r="128">
          <cell r="B128" t="str">
            <v>025-5010-000</v>
          </cell>
          <cell r="C128" t="str">
            <v>Compensation</v>
          </cell>
          <cell r="D128">
            <v>0</v>
          </cell>
          <cell r="E128">
            <v>78148.92</v>
          </cell>
          <cell r="F128">
            <v>24031.96</v>
          </cell>
          <cell r="G128">
            <v>54116.959999999999</v>
          </cell>
          <cell r="H128">
            <v>54116.959999999999</v>
          </cell>
        </row>
        <row r="129">
          <cell r="B129" t="str">
            <v>025-5010-028</v>
          </cell>
          <cell r="C129" t="str">
            <v>Compensation-Contra</v>
          </cell>
          <cell r="D129">
            <v>0</v>
          </cell>
          <cell r="E129">
            <v>0</v>
          </cell>
          <cell r="F129">
            <v>31526.53</v>
          </cell>
          <cell r="G129">
            <v>-31526.53</v>
          </cell>
          <cell r="H129">
            <v>-31526.53</v>
          </cell>
        </row>
        <row r="130">
          <cell r="B130" t="str">
            <v>025-5120-000</v>
          </cell>
          <cell r="C130" t="str">
            <v>Payroll Taxes-FICA Medicare</v>
          </cell>
          <cell r="D130">
            <v>0</v>
          </cell>
          <cell r="E130">
            <v>5663.92</v>
          </cell>
          <cell r="F130">
            <v>1487.25</v>
          </cell>
          <cell r="G130">
            <v>4176.67</v>
          </cell>
          <cell r="H130">
            <v>4176.67</v>
          </cell>
        </row>
        <row r="131">
          <cell r="B131" t="str">
            <v>025-5200-000</v>
          </cell>
          <cell r="C131" t="str">
            <v>Employee Parking</v>
          </cell>
          <cell r="D131">
            <v>0</v>
          </cell>
          <cell r="E131">
            <v>2114.75</v>
          </cell>
          <cell r="F131">
            <v>255</v>
          </cell>
          <cell r="G131">
            <v>1859.75</v>
          </cell>
          <cell r="H131">
            <v>1859.75</v>
          </cell>
        </row>
        <row r="132">
          <cell r="B132" t="str">
            <v>025-5210-000</v>
          </cell>
          <cell r="C132" t="str">
            <v>Medical Insurance</v>
          </cell>
          <cell r="D132">
            <v>0</v>
          </cell>
          <cell r="E132">
            <v>30298.51</v>
          </cell>
          <cell r="F132">
            <v>14295.05</v>
          </cell>
          <cell r="G132">
            <v>16003.46</v>
          </cell>
          <cell r="H132">
            <v>16003.46</v>
          </cell>
        </row>
        <row r="133">
          <cell r="B133" t="str">
            <v>025-5220-000</v>
          </cell>
          <cell r="C133" t="str">
            <v>Life Insurance</v>
          </cell>
          <cell r="D133">
            <v>0</v>
          </cell>
          <cell r="E133">
            <v>407.33</v>
          </cell>
          <cell r="F133">
            <v>61.77</v>
          </cell>
          <cell r="G133">
            <v>345.56</v>
          </cell>
          <cell r="H133">
            <v>345.56</v>
          </cell>
        </row>
        <row r="134">
          <cell r="B134" t="str">
            <v>025-5230-000</v>
          </cell>
          <cell r="C134" t="str">
            <v>Dental Insurance</v>
          </cell>
          <cell r="D134">
            <v>0</v>
          </cell>
          <cell r="E134">
            <v>1867</v>
          </cell>
          <cell r="F134">
            <v>640.29999999999995</v>
          </cell>
          <cell r="G134">
            <v>1226.7</v>
          </cell>
          <cell r="H134">
            <v>1226.7</v>
          </cell>
        </row>
        <row r="135">
          <cell r="B135" t="str">
            <v>025-5230-028</v>
          </cell>
          <cell r="C135" t="str">
            <v>Continuing Education-Contra</v>
          </cell>
          <cell r="D135">
            <v>0</v>
          </cell>
          <cell r="E135">
            <v>1438.4</v>
          </cell>
          <cell r="F135">
            <v>1438.4</v>
          </cell>
          <cell r="G135">
            <v>0</v>
          </cell>
          <cell r="H135">
            <v>0</v>
          </cell>
        </row>
        <row r="136">
          <cell r="B136" t="str">
            <v>025-5240-000</v>
          </cell>
          <cell r="C136" t="str">
            <v>Vision Insurance</v>
          </cell>
          <cell r="D136">
            <v>0</v>
          </cell>
          <cell r="E136">
            <v>643.91</v>
          </cell>
          <cell r="F136">
            <v>381.68</v>
          </cell>
          <cell r="G136">
            <v>262.23</v>
          </cell>
          <cell r="H136">
            <v>262.23</v>
          </cell>
        </row>
        <row r="137">
          <cell r="B137" t="str">
            <v>025-5250-000</v>
          </cell>
          <cell r="C137" t="str">
            <v>Disability Insurance</v>
          </cell>
          <cell r="D137">
            <v>0</v>
          </cell>
          <cell r="E137">
            <v>855.69</v>
          </cell>
          <cell r="F137">
            <v>53.29</v>
          </cell>
          <cell r="G137">
            <v>802.4</v>
          </cell>
          <cell r="H137">
            <v>802.4</v>
          </cell>
        </row>
        <row r="138">
          <cell r="B138" t="str">
            <v>025-5270-000</v>
          </cell>
          <cell r="C138" t="str">
            <v>401K Contribution</v>
          </cell>
          <cell r="D138">
            <v>0</v>
          </cell>
          <cell r="E138">
            <v>6084.59</v>
          </cell>
          <cell r="F138">
            <v>1794.12</v>
          </cell>
          <cell r="G138">
            <v>4290.47</v>
          </cell>
          <cell r="H138">
            <v>4290.47</v>
          </cell>
        </row>
        <row r="139">
          <cell r="B139" t="str">
            <v>025-5280-000</v>
          </cell>
          <cell r="C139" t="str">
            <v>Compensation Contra</v>
          </cell>
          <cell r="D139">
            <v>0</v>
          </cell>
          <cell r="E139">
            <v>0</v>
          </cell>
          <cell r="F139">
            <v>51031.93</v>
          </cell>
          <cell r="G139">
            <v>-51031.93</v>
          </cell>
          <cell r="H139">
            <v>-51031.93</v>
          </cell>
        </row>
        <row r="140">
          <cell r="B140" t="str">
            <v>025-5300-000</v>
          </cell>
          <cell r="C140" t="str">
            <v>Travel &amp; Entertainment</v>
          </cell>
          <cell r="D140">
            <v>0</v>
          </cell>
          <cell r="E140">
            <v>184</v>
          </cell>
          <cell r="F140">
            <v>0</v>
          </cell>
          <cell r="G140">
            <v>184</v>
          </cell>
          <cell r="H140">
            <v>184</v>
          </cell>
        </row>
        <row r="141">
          <cell r="B141" t="str">
            <v>025-5300-028</v>
          </cell>
          <cell r="C141" t="str">
            <v>Travel &amp; Entertainment-Contra</v>
          </cell>
          <cell r="D141">
            <v>0</v>
          </cell>
          <cell r="E141">
            <v>0</v>
          </cell>
          <cell r="F141">
            <v>184</v>
          </cell>
          <cell r="G141">
            <v>-184</v>
          </cell>
          <cell r="H141">
            <v>-184</v>
          </cell>
        </row>
        <row r="142">
          <cell r="B142" t="str">
            <v>025-5310-000</v>
          </cell>
          <cell r="C142" t="str">
            <v>Professional Activities</v>
          </cell>
          <cell r="D142">
            <v>0</v>
          </cell>
          <cell r="E142">
            <v>35</v>
          </cell>
          <cell r="F142">
            <v>0</v>
          </cell>
          <cell r="G142">
            <v>35</v>
          </cell>
          <cell r="H142">
            <v>35</v>
          </cell>
        </row>
        <row r="143">
          <cell r="B143" t="str">
            <v>025-5320-000</v>
          </cell>
          <cell r="C143" t="str">
            <v>Continuing Education</v>
          </cell>
          <cell r="D143">
            <v>0</v>
          </cell>
          <cell r="E143">
            <v>1438.4</v>
          </cell>
          <cell r="F143">
            <v>0</v>
          </cell>
          <cell r="G143">
            <v>1438.4</v>
          </cell>
          <cell r="H143">
            <v>1438.4</v>
          </cell>
        </row>
        <row r="144">
          <cell r="B144" t="str">
            <v>025-5320-028</v>
          </cell>
          <cell r="C144" t="str">
            <v>Continuing Education-Contra</v>
          </cell>
          <cell r="D144">
            <v>0</v>
          </cell>
          <cell r="E144">
            <v>0</v>
          </cell>
          <cell r="F144">
            <v>1473.4</v>
          </cell>
          <cell r="G144">
            <v>-1473.4</v>
          </cell>
          <cell r="H144">
            <v>-1473.4</v>
          </cell>
        </row>
        <row r="145">
          <cell r="B145" t="str">
            <v>025-5352-000</v>
          </cell>
          <cell r="C145" t="str">
            <v>Contribution to EDC Loan</v>
          </cell>
          <cell r="D145">
            <v>0</v>
          </cell>
          <cell r="E145">
            <v>75000</v>
          </cell>
          <cell r="F145">
            <v>0</v>
          </cell>
          <cell r="G145">
            <v>75000</v>
          </cell>
          <cell r="H145">
            <v>75000</v>
          </cell>
        </row>
        <row r="146">
          <cell r="B146" t="str">
            <v>025-6010-000</v>
          </cell>
          <cell r="C146" t="str">
            <v>Loan Corp- - Office Supplies &amp; Expense</v>
          </cell>
          <cell r="D146">
            <v>0</v>
          </cell>
          <cell r="E146">
            <v>237.64</v>
          </cell>
          <cell r="F146">
            <v>118.82</v>
          </cell>
          <cell r="G146">
            <v>118.82</v>
          </cell>
          <cell r="H146">
            <v>118.82</v>
          </cell>
        </row>
        <row r="147">
          <cell r="B147" t="str">
            <v>025-6010-028</v>
          </cell>
          <cell r="C147" t="str">
            <v>Office Supplies-Contra</v>
          </cell>
          <cell r="D147">
            <v>0</v>
          </cell>
          <cell r="E147">
            <v>0</v>
          </cell>
          <cell r="F147">
            <v>118.82</v>
          </cell>
          <cell r="G147">
            <v>-118.82</v>
          </cell>
          <cell r="H147">
            <v>-118.82</v>
          </cell>
        </row>
        <row r="148">
          <cell r="B148" t="str">
            <v>025-6020-000</v>
          </cell>
          <cell r="C148" t="str">
            <v>Temporary Services</v>
          </cell>
          <cell r="D148">
            <v>0</v>
          </cell>
          <cell r="E148">
            <v>58488.86</v>
          </cell>
          <cell r="F148">
            <v>0</v>
          </cell>
          <cell r="G148">
            <v>58488.86</v>
          </cell>
          <cell r="H148">
            <v>58488.86</v>
          </cell>
        </row>
        <row r="149">
          <cell r="B149" t="str">
            <v>025-6020-028</v>
          </cell>
          <cell r="C149" t="str">
            <v>Temporary Services-Contra</v>
          </cell>
          <cell r="D149">
            <v>0</v>
          </cell>
          <cell r="E149">
            <v>0</v>
          </cell>
          <cell r="F149">
            <v>52368.86</v>
          </cell>
          <cell r="G149">
            <v>-52368.86</v>
          </cell>
          <cell r="H149">
            <v>-52368.86</v>
          </cell>
        </row>
        <row r="150">
          <cell r="B150" t="str">
            <v>025-6320-000</v>
          </cell>
          <cell r="C150" t="str">
            <v>Loan Corp- - Office Meeting Expenses</v>
          </cell>
          <cell r="D150">
            <v>0</v>
          </cell>
          <cell r="E150">
            <v>150.22999999999999</v>
          </cell>
          <cell r="F150">
            <v>0</v>
          </cell>
          <cell r="G150">
            <v>150.22999999999999</v>
          </cell>
          <cell r="H150">
            <v>150.22999999999999</v>
          </cell>
        </row>
        <row r="151">
          <cell r="B151" t="str">
            <v>TRIAL BALANCE SUMMARY FOR 2016</v>
          </cell>
          <cell r="C151">
            <v>42443</v>
          </cell>
          <cell r="D151">
            <v>0.59376157407407404</v>
          </cell>
          <cell r="E151" t="str">
            <v>Page:</v>
          </cell>
          <cell r="F151">
            <v>3</v>
          </cell>
          <cell r="G151" t="str">
            <v>User Date:</v>
          </cell>
          <cell r="H151">
            <v>42443</v>
          </cell>
        </row>
        <row r="153">
          <cell r="B153" t="str">
            <v>Account</v>
          </cell>
          <cell r="C153" t="str">
            <v>Description</v>
          </cell>
          <cell r="D153" t="str">
            <v>Beginning Balance</v>
          </cell>
          <cell r="E153" t="str">
            <v>Credit</v>
          </cell>
          <cell r="F153" t="str">
            <v>Net Change</v>
          </cell>
          <cell r="G153" t="str">
            <v>Ending Balance</v>
          </cell>
          <cell r="H153" t="str">
            <v>Debit</v>
          </cell>
        </row>
        <row r="154">
          <cell r="B154" t="str">
            <v>025-6320-028</v>
          </cell>
          <cell r="C154" t="str">
            <v>Meetings-Contra Account</v>
          </cell>
          <cell r="D154">
            <v>0</v>
          </cell>
          <cell r="E154">
            <v>0</v>
          </cell>
          <cell r="F154">
            <v>150.22999999999999</v>
          </cell>
          <cell r="G154">
            <v>-150.22999999999999</v>
          </cell>
          <cell r="H154">
            <v>-150.22999999999999</v>
          </cell>
        </row>
        <row r="155">
          <cell r="B155" t="str">
            <v>025-6350-000</v>
          </cell>
          <cell r="C155" t="str">
            <v>Loan Corp- - Board Parking</v>
          </cell>
          <cell r="D155">
            <v>0</v>
          </cell>
          <cell r="E155">
            <v>15.25</v>
          </cell>
          <cell r="F155">
            <v>0</v>
          </cell>
          <cell r="G155">
            <v>15.25</v>
          </cell>
          <cell r="H155">
            <v>15.25</v>
          </cell>
        </row>
        <row r="156">
          <cell r="B156" t="str">
            <v>025-6350-028</v>
          </cell>
          <cell r="C156" t="str">
            <v>Board Parking-Contra</v>
          </cell>
          <cell r="D156">
            <v>0</v>
          </cell>
          <cell r="E156">
            <v>0</v>
          </cell>
          <cell r="F156">
            <v>15.25</v>
          </cell>
          <cell r="G156">
            <v>-15.25</v>
          </cell>
          <cell r="H156">
            <v>-15.25</v>
          </cell>
        </row>
        <row r="157">
          <cell r="B157" t="str">
            <v>025-6510-000</v>
          </cell>
          <cell r="C157" t="str">
            <v>Loan Corp- - Legal Services</v>
          </cell>
          <cell r="D157">
            <v>0</v>
          </cell>
          <cell r="E157">
            <v>300</v>
          </cell>
          <cell r="F157">
            <v>300</v>
          </cell>
          <cell r="G157">
            <v>0</v>
          </cell>
          <cell r="H157">
            <v>0</v>
          </cell>
        </row>
        <row r="158">
          <cell r="B158" t="str">
            <v>025-6512-000</v>
          </cell>
          <cell r="C158" t="str">
            <v>Settlement Expense</v>
          </cell>
          <cell r="D158">
            <v>0</v>
          </cell>
          <cell r="E158">
            <v>13000</v>
          </cell>
          <cell r="F158">
            <v>0</v>
          </cell>
          <cell r="G158">
            <v>13000</v>
          </cell>
          <cell r="H158">
            <v>13000</v>
          </cell>
        </row>
        <row r="159">
          <cell r="B159" t="str">
            <v>025-6512-028</v>
          </cell>
          <cell r="C159" t="str">
            <v>Settlement Expenses-Contra</v>
          </cell>
          <cell r="D159">
            <v>0</v>
          </cell>
          <cell r="E159">
            <v>0</v>
          </cell>
          <cell r="F159">
            <v>13000</v>
          </cell>
          <cell r="G159">
            <v>-13000</v>
          </cell>
          <cell r="H159">
            <v>-13000</v>
          </cell>
        </row>
        <row r="160">
          <cell r="B160" t="str">
            <v>025-6520-000</v>
          </cell>
          <cell r="C160" t="str">
            <v>Recruiting Expenses</v>
          </cell>
          <cell r="D160">
            <v>0</v>
          </cell>
          <cell r="E160">
            <v>3151.13</v>
          </cell>
          <cell r="F160">
            <v>0</v>
          </cell>
          <cell r="G160">
            <v>3151.13</v>
          </cell>
          <cell r="H160">
            <v>3151.13</v>
          </cell>
        </row>
        <row r="161">
          <cell r="B161" t="str">
            <v>025-6520-028</v>
          </cell>
          <cell r="C161" t="str">
            <v>Recruiting Expense-Contra</v>
          </cell>
          <cell r="D161">
            <v>0</v>
          </cell>
          <cell r="E161">
            <v>0</v>
          </cell>
          <cell r="F161">
            <v>3151.13</v>
          </cell>
          <cell r="G161">
            <v>-3151.13</v>
          </cell>
          <cell r="H161">
            <v>-3151.13</v>
          </cell>
        </row>
        <row r="162">
          <cell r="B162" t="str">
            <v>025-9999-000</v>
          </cell>
          <cell r="C162" t="str">
            <v>EDC Loan Contra Acct</v>
          </cell>
          <cell r="D162">
            <v>0</v>
          </cell>
          <cell r="E162">
            <v>38431.040000000001</v>
          </cell>
          <cell r="F162">
            <v>38431.040000000001</v>
          </cell>
          <cell r="G162">
            <v>0</v>
          </cell>
          <cell r="H162">
            <v>0</v>
          </cell>
        </row>
        <row r="163">
          <cell r="B163" t="str">
            <v>035-4020-000</v>
          </cell>
          <cell r="C163" t="str">
            <v>BD Revenues</v>
          </cell>
          <cell r="D163">
            <v>0</v>
          </cell>
          <cell r="E163">
            <v>13011</v>
          </cell>
          <cell r="F163">
            <v>234018.73</v>
          </cell>
          <cell r="G163">
            <v>-221007.73</v>
          </cell>
          <cell r="H163">
            <v>-221007.73</v>
          </cell>
        </row>
        <row r="164">
          <cell r="B164" t="str">
            <v>035-4350-000</v>
          </cell>
          <cell r="C164" t="str">
            <v>Business Seminar Revenue</v>
          </cell>
          <cell r="D164">
            <v>0</v>
          </cell>
          <cell r="E164">
            <v>0</v>
          </cell>
          <cell r="F164">
            <v>2790</v>
          </cell>
          <cell r="G164">
            <v>-2790</v>
          </cell>
          <cell r="H164">
            <v>-2790</v>
          </cell>
        </row>
        <row r="165">
          <cell r="B165" t="str">
            <v>035-5010-000</v>
          </cell>
          <cell r="C165" t="str">
            <v>Compensation</v>
          </cell>
          <cell r="D165">
            <v>0</v>
          </cell>
          <cell r="E165">
            <v>846751.83</v>
          </cell>
          <cell r="F165">
            <v>289565.73</v>
          </cell>
          <cell r="G165">
            <v>557186.1</v>
          </cell>
          <cell r="H165">
            <v>557186.1</v>
          </cell>
        </row>
        <row r="166">
          <cell r="B166" t="str">
            <v>035-5120-000</v>
          </cell>
          <cell r="C166" t="str">
            <v>Payroll Taxes-FICA Medicare</v>
          </cell>
          <cell r="D166">
            <v>0</v>
          </cell>
          <cell r="E166">
            <v>60257.760000000002</v>
          </cell>
          <cell r="F166">
            <v>16962.5</v>
          </cell>
          <cell r="G166">
            <v>43295.26</v>
          </cell>
          <cell r="H166">
            <v>43295.26</v>
          </cell>
        </row>
        <row r="167">
          <cell r="B167" t="str">
            <v>035-5200-000</v>
          </cell>
          <cell r="C167" t="str">
            <v>Employee Parking</v>
          </cell>
          <cell r="D167">
            <v>0</v>
          </cell>
          <cell r="E167">
            <v>10327.5</v>
          </cell>
          <cell r="F167">
            <v>1190</v>
          </cell>
          <cell r="G167">
            <v>9137.5</v>
          </cell>
          <cell r="H167">
            <v>9137.5</v>
          </cell>
        </row>
        <row r="168">
          <cell r="B168" t="str">
            <v>035-5210-000</v>
          </cell>
          <cell r="C168" t="str">
            <v>Medical Insurance</v>
          </cell>
          <cell r="D168">
            <v>0</v>
          </cell>
          <cell r="E168">
            <v>99107.99</v>
          </cell>
          <cell r="F168">
            <v>45310.67</v>
          </cell>
          <cell r="G168">
            <v>53797.32</v>
          </cell>
          <cell r="H168">
            <v>53797.32</v>
          </cell>
        </row>
        <row r="169">
          <cell r="B169" t="str">
            <v>035-5220-000</v>
          </cell>
          <cell r="C169" t="str">
            <v>Life Insurance</v>
          </cell>
          <cell r="D169">
            <v>0</v>
          </cell>
          <cell r="E169">
            <v>2259.46</v>
          </cell>
          <cell r="F169">
            <v>79.19</v>
          </cell>
          <cell r="G169">
            <v>2180.27</v>
          </cell>
          <cell r="H169">
            <v>2180.27</v>
          </cell>
        </row>
        <row r="170">
          <cell r="B170" t="str">
            <v>035-5230-000</v>
          </cell>
          <cell r="C170" t="str">
            <v>Dental Insurance</v>
          </cell>
          <cell r="D170">
            <v>0</v>
          </cell>
          <cell r="E170">
            <v>6245.03</v>
          </cell>
          <cell r="F170">
            <v>2453.08</v>
          </cell>
          <cell r="G170">
            <v>3791.95</v>
          </cell>
          <cell r="H170">
            <v>3791.95</v>
          </cell>
        </row>
        <row r="171">
          <cell r="B171" t="str">
            <v>035-5240-000</v>
          </cell>
          <cell r="C171" t="str">
            <v>Vision Insurance</v>
          </cell>
          <cell r="D171">
            <v>0</v>
          </cell>
          <cell r="E171">
            <v>2561.34</v>
          </cell>
          <cell r="F171">
            <v>1086.57</v>
          </cell>
          <cell r="G171">
            <v>1474.77</v>
          </cell>
          <cell r="H171">
            <v>1474.77</v>
          </cell>
        </row>
        <row r="172">
          <cell r="B172" t="str">
            <v>035-5250-000</v>
          </cell>
          <cell r="C172" t="str">
            <v>Disability Insurance</v>
          </cell>
          <cell r="D172">
            <v>0</v>
          </cell>
          <cell r="E172">
            <v>6693.2</v>
          </cell>
          <cell r="F172">
            <v>192.16</v>
          </cell>
          <cell r="G172">
            <v>6501.04</v>
          </cell>
          <cell r="H172">
            <v>6501.04</v>
          </cell>
        </row>
        <row r="173">
          <cell r="B173" t="str">
            <v>035-5270-000</v>
          </cell>
          <cell r="C173" t="str">
            <v>401K Contribution</v>
          </cell>
          <cell r="D173">
            <v>0</v>
          </cell>
          <cell r="E173">
            <v>58953.82</v>
          </cell>
          <cell r="F173">
            <v>16554.23</v>
          </cell>
          <cell r="G173">
            <v>42399.59</v>
          </cell>
          <cell r="H173">
            <v>42399.59</v>
          </cell>
        </row>
        <row r="174">
          <cell r="B174" t="str">
            <v>035-5300-000</v>
          </cell>
          <cell r="C174" t="str">
            <v>Travel &amp; Entertainment</v>
          </cell>
          <cell r="D174">
            <v>0</v>
          </cell>
          <cell r="E174">
            <v>24558.95</v>
          </cell>
          <cell r="F174">
            <v>670.03</v>
          </cell>
          <cell r="G174">
            <v>23888.92</v>
          </cell>
          <cell r="H174">
            <v>23888.92</v>
          </cell>
        </row>
        <row r="175">
          <cell r="B175" t="str">
            <v>035-5310-000</v>
          </cell>
          <cell r="C175" t="str">
            <v>Professional Activities</v>
          </cell>
          <cell r="D175">
            <v>0</v>
          </cell>
          <cell r="E175">
            <v>10662.1</v>
          </cell>
          <cell r="F175">
            <v>3000</v>
          </cell>
          <cell r="G175">
            <v>7662.1</v>
          </cell>
          <cell r="H175">
            <v>7662.1</v>
          </cell>
        </row>
        <row r="176">
          <cell r="B176" t="str">
            <v>035-5320-000</v>
          </cell>
          <cell r="C176" t="str">
            <v>Continuing Education</v>
          </cell>
          <cell r="D176">
            <v>0</v>
          </cell>
          <cell r="E176">
            <v>8276</v>
          </cell>
          <cell r="F176">
            <v>0</v>
          </cell>
          <cell r="G176">
            <v>8276</v>
          </cell>
          <cell r="H176">
            <v>8276</v>
          </cell>
        </row>
        <row r="177">
          <cell r="B177" t="str">
            <v>035-5330-000</v>
          </cell>
          <cell r="C177" t="str">
            <v>Membership Dues</v>
          </cell>
          <cell r="D177">
            <v>0</v>
          </cell>
          <cell r="E177">
            <v>15324.49</v>
          </cell>
          <cell r="F177">
            <v>17861.32</v>
          </cell>
          <cell r="G177">
            <v>-2536.83</v>
          </cell>
          <cell r="H177">
            <v>-2536.83</v>
          </cell>
        </row>
        <row r="178">
          <cell r="B178" t="str">
            <v>035-5340-000</v>
          </cell>
          <cell r="C178" t="str">
            <v>Subscriptions</v>
          </cell>
          <cell r="D178">
            <v>0</v>
          </cell>
          <cell r="E178">
            <v>4263.95</v>
          </cell>
          <cell r="F178">
            <v>0</v>
          </cell>
          <cell r="G178">
            <v>4263.95</v>
          </cell>
          <cell r="H178">
            <v>4263.95</v>
          </cell>
        </row>
        <row r="179">
          <cell r="B179" t="str">
            <v>035-5345-000</v>
          </cell>
          <cell r="C179" t="str">
            <v>Business Development Surveys</v>
          </cell>
          <cell r="D179">
            <v>0</v>
          </cell>
          <cell r="E179">
            <v>138.75</v>
          </cell>
          <cell r="F179">
            <v>0</v>
          </cell>
          <cell r="G179">
            <v>138.75</v>
          </cell>
          <cell r="H179">
            <v>138.75</v>
          </cell>
        </row>
        <row r="180">
          <cell r="B180" t="str">
            <v>035-5350-000</v>
          </cell>
          <cell r="C180" t="str">
            <v>Advertising/Marketing</v>
          </cell>
          <cell r="D180">
            <v>0</v>
          </cell>
          <cell r="E180">
            <v>21534.36</v>
          </cell>
          <cell r="F180">
            <v>18862.36</v>
          </cell>
          <cell r="G180">
            <v>2672</v>
          </cell>
          <cell r="H180">
            <v>2672</v>
          </cell>
        </row>
        <row r="181">
          <cell r="B181" t="str">
            <v>035-5351-000</v>
          </cell>
          <cell r="C181" t="str">
            <v>Business Development-Launch KC Advertising Market</v>
          </cell>
          <cell r="D181">
            <v>0</v>
          </cell>
          <cell r="E181">
            <v>7774.65</v>
          </cell>
          <cell r="F181">
            <v>7774.65</v>
          </cell>
          <cell r="G181">
            <v>0</v>
          </cell>
          <cell r="H181">
            <v>0</v>
          </cell>
        </row>
        <row r="182">
          <cell r="B182" t="str">
            <v>035-6010-000</v>
          </cell>
          <cell r="C182" t="str">
            <v>Office Supplies</v>
          </cell>
          <cell r="D182">
            <v>0</v>
          </cell>
          <cell r="E182">
            <v>1684.41</v>
          </cell>
          <cell r="F182">
            <v>0</v>
          </cell>
          <cell r="G182">
            <v>1684.41</v>
          </cell>
          <cell r="H182">
            <v>1684.41</v>
          </cell>
        </row>
        <row r="183">
          <cell r="B183" t="str">
            <v>035-6025-000</v>
          </cell>
          <cell r="C183" t="str">
            <v>Business Development- - Computer Equip &amp; Software</v>
          </cell>
          <cell r="D183">
            <v>0</v>
          </cell>
          <cell r="E183">
            <v>395</v>
          </cell>
          <cell r="F183">
            <v>0</v>
          </cell>
          <cell r="G183">
            <v>395</v>
          </cell>
          <cell r="H183">
            <v>395</v>
          </cell>
        </row>
        <row r="184">
          <cell r="B184" t="str">
            <v>035-6040-000</v>
          </cell>
          <cell r="C184" t="str">
            <v>Contirbutions and Sponsorships</v>
          </cell>
          <cell r="D184">
            <v>0</v>
          </cell>
          <cell r="E184">
            <v>33783.33</v>
          </cell>
          <cell r="F184">
            <v>5458.33</v>
          </cell>
          <cell r="G184">
            <v>28325</v>
          </cell>
          <cell r="H184">
            <v>28325</v>
          </cell>
        </row>
        <row r="185">
          <cell r="B185" t="str">
            <v>035-6320-000</v>
          </cell>
          <cell r="C185" t="str">
            <v>Office Meeting exp</v>
          </cell>
          <cell r="D185">
            <v>0</v>
          </cell>
          <cell r="E185">
            <v>711.77</v>
          </cell>
          <cell r="F185">
            <v>0</v>
          </cell>
          <cell r="G185">
            <v>711.77</v>
          </cell>
          <cell r="H185">
            <v>711.77</v>
          </cell>
        </row>
        <row r="186">
          <cell r="B186" t="str">
            <v>035-6510-000</v>
          </cell>
          <cell r="C186" t="str">
            <v>Legal Fees</v>
          </cell>
          <cell r="D186">
            <v>0</v>
          </cell>
          <cell r="E186">
            <v>34735.199999999997</v>
          </cell>
          <cell r="F186">
            <v>17900.5</v>
          </cell>
          <cell r="G186">
            <v>16834.7</v>
          </cell>
          <cell r="H186">
            <v>16834.7</v>
          </cell>
        </row>
        <row r="187">
          <cell r="B187" t="str">
            <v>035-6530-000</v>
          </cell>
          <cell r="C187" t="str">
            <v>Outside Consultants</v>
          </cell>
          <cell r="D187">
            <v>0</v>
          </cell>
          <cell r="E187">
            <v>239911.88</v>
          </cell>
          <cell r="F187">
            <v>19731.98</v>
          </cell>
          <cell r="G187">
            <v>220179.9</v>
          </cell>
          <cell r="H187">
            <v>220179.9</v>
          </cell>
        </row>
        <row r="188">
          <cell r="B188" t="str">
            <v>035-6540-000</v>
          </cell>
          <cell r="C188" t="str">
            <v>Contributions and Sponsorships</v>
          </cell>
          <cell r="D188">
            <v>0</v>
          </cell>
          <cell r="E188">
            <v>11300</v>
          </cell>
          <cell r="F188">
            <v>2500</v>
          </cell>
          <cell r="G188">
            <v>8800</v>
          </cell>
          <cell r="H188">
            <v>8800</v>
          </cell>
        </row>
        <row r="189">
          <cell r="B189" t="str">
            <v>035-8530-000</v>
          </cell>
          <cell r="C189" t="str">
            <v>Business Seminar Expenses</v>
          </cell>
          <cell r="D189">
            <v>0</v>
          </cell>
          <cell r="E189">
            <v>4500</v>
          </cell>
          <cell r="F189">
            <v>2500</v>
          </cell>
          <cell r="G189">
            <v>2000</v>
          </cell>
          <cell r="H189">
            <v>2000</v>
          </cell>
        </row>
        <row r="190">
          <cell r="B190" t="str">
            <v>036-3000-000</v>
          </cell>
          <cell r="C190" t="str">
            <v>City-General Fund</v>
          </cell>
          <cell r="D190">
            <v>0</v>
          </cell>
          <cell r="E190">
            <v>0</v>
          </cell>
          <cell r="F190">
            <v>120000</v>
          </cell>
          <cell r="G190">
            <v>-120000</v>
          </cell>
          <cell r="H190">
            <v>-120000</v>
          </cell>
        </row>
        <row r="191">
          <cell r="B191" t="str">
            <v>036-5010-000</v>
          </cell>
          <cell r="C191" t="str">
            <v>Compensation</v>
          </cell>
          <cell r="D191">
            <v>0</v>
          </cell>
          <cell r="E191">
            <v>88615.29</v>
          </cell>
          <cell r="F191">
            <v>20615.36</v>
          </cell>
          <cell r="G191">
            <v>67999.929999999993</v>
          </cell>
          <cell r="H191">
            <v>67999.929999999993</v>
          </cell>
        </row>
        <row r="192">
          <cell r="B192" t="str">
            <v>036-5120-000</v>
          </cell>
          <cell r="C192" t="str">
            <v>Payroll Taxes-FICA Medicare</v>
          </cell>
          <cell r="D192">
            <v>0</v>
          </cell>
          <cell r="E192">
            <v>6584.92</v>
          </cell>
          <cell r="F192">
            <v>1533.03</v>
          </cell>
          <cell r="G192">
            <v>5051.8900000000003</v>
          </cell>
          <cell r="H192">
            <v>5051.8900000000003</v>
          </cell>
        </row>
        <row r="193">
          <cell r="B193" t="str">
            <v>036-5200-000</v>
          </cell>
          <cell r="C193" t="str">
            <v>Employee Parking</v>
          </cell>
          <cell r="D193">
            <v>0</v>
          </cell>
          <cell r="E193">
            <v>1147.5</v>
          </cell>
          <cell r="F193">
            <v>0</v>
          </cell>
          <cell r="G193">
            <v>1147.5</v>
          </cell>
          <cell r="H193">
            <v>1147.5</v>
          </cell>
        </row>
        <row r="194">
          <cell r="B194" t="str">
            <v>036-5210-000</v>
          </cell>
          <cell r="C194" t="str">
            <v>Medical Insurance</v>
          </cell>
          <cell r="D194">
            <v>0</v>
          </cell>
          <cell r="E194">
            <v>5548.11</v>
          </cell>
          <cell r="F194">
            <v>1368.6</v>
          </cell>
          <cell r="G194">
            <v>4179.51</v>
          </cell>
          <cell r="H194">
            <v>4179.51</v>
          </cell>
        </row>
        <row r="195">
          <cell r="B195" t="str">
            <v>036-5220-000</v>
          </cell>
          <cell r="C195" t="str">
            <v>Life Insurance</v>
          </cell>
          <cell r="D195">
            <v>0</v>
          </cell>
          <cell r="E195">
            <v>192</v>
          </cell>
          <cell r="F195">
            <v>0</v>
          </cell>
          <cell r="G195">
            <v>192</v>
          </cell>
          <cell r="H195">
            <v>192</v>
          </cell>
        </row>
        <row r="196">
          <cell r="B196" t="str">
            <v>036-5230-000</v>
          </cell>
          <cell r="C196" t="str">
            <v>Dental Insurance</v>
          </cell>
          <cell r="D196">
            <v>0</v>
          </cell>
          <cell r="E196">
            <v>209.65</v>
          </cell>
          <cell r="F196">
            <v>0</v>
          </cell>
          <cell r="G196">
            <v>209.65</v>
          </cell>
          <cell r="H196">
            <v>209.65</v>
          </cell>
        </row>
        <row r="197">
          <cell r="B197" t="str">
            <v>036-5240-000</v>
          </cell>
          <cell r="C197" t="str">
            <v>Vision Insurance</v>
          </cell>
          <cell r="D197">
            <v>0</v>
          </cell>
          <cell r="E197">
            <v>123.28</v>
          </cell>
          <cell r="F197">
            <v>0</v>
          </cell>
          <cell r="G197">
            <v>123.28</v>
          </cell>
          <cell r="H197">
            <v>123.28</v>
          </cell>
        </row>
        <row r="198">
          <cell r="B198" t="str">
            <v>036-5250-000</v>
          </cell>
          <cell r="C198" t="str">
            <v>Disability Insurance</v>
          </cell>
          <cell r="D198">
            <v>0</v>
          </cell>
          <cell r="E198">
            <v>693.98</v>
          </cell>
          <cell r="F198">
            <v>0</v>
          </cell>
          <cell r="G198">
            <v>693.98</v>
          </cell>
          <cell r="H198">
            <v>693.98</v>
          </cell>
        </row>
        <row r="199">
          <cell r="B199" t="str">
            <v>036-5270-000</v>
          </cell>
          <cell r="C199" t="str">
            <v>401K Contribution</v>
          </cell>
          <cell r="D199">
            <v>0</v>
          </cell>
          <cell r="E199">
            <v>8424.7000000000007</v>
          </cell>
          <cell r="F199">
            <v>1867.19</v>
          </cell>
          <cell r="G199">
            <v>6557.51</v>
          </cell>
          <cell r="H199">
            <v>6557.51</v>
          </cell>
        </row>
        <row r="200">
          <cell r="B200" t="str">
            <v>036-5300-000</v>
          </cell>
          <cell r="C200" t="str">
            <v>Travel &amp; Entertainment</v>
          </cell>
          <cell r="D200">
            <v>0</v>
          </cell>
          <cell r="E200">
            <v>17755.34</v>
          </cell>
          <cell r="F200">
            <v>1643.61</v>
          </cell>
          <cell r="G200">
            <v>16111.73</v>
          </cell>
          <cell r="H200">
            <v>16111.73</v>
          </cell>
        </row>
        <row r="201">
          <cell r="B201" t="str">
            <v>036-5310-000</v>
          </cell>
          <cell r="C201" t="str">
            <v>Professional Activities</v>
          </cell>
          <cell r="D201">
            <v>0</v>
          </cell>
          <cell r="E201">
            <v>609</v>
          </cell>
          <cell r="F201">
            <v>0</v>
          </cell>
          <cell r="G201">
            <v>609</v>
          </cell>
          <cell r="H201">
            <v>609</v>
          </cell>
        </row>
        <row r="202">
          <cell r="B202" t="str">
            <v>036-5320-000</v>
          </cell>
          <cell r="C202" t="str">
            <v>Continuing Education</v>
          </cell>
          <cell r="D202">
            <v>0</v>
          </cell>
          <cell r="E202">
            <v>799</v>
          </cell>
          <cell r="F202">
            <v>0</v>
          </cell>
          <cell r="G202">
            <v>799</v>
          </cell>
          <cell r="H202">
            <v>799</v>
          </cell>
        </row>
        <row r="203">
          <cell r="B203" t="str">
            <v>036-5330-000</v>
          </cell>
          <cell r="C203" t="str">
            <v>Membership Dues</v>
          </cell>
          <cell r="D203">
            <v>0</v>
          </cell>
          <cell r="E203">
            <v>210</v>
          </cell>
          <cell r="F203">
            <v>0</v>
          </cell>
          <cell r="G203">
            <v>210</v>
          </cell>
          <cell r="H203">
            <v>210</v>
          </cell>
        </row>
        <row r="204">
          <cell r="B204" t="str">
            <v>036-5350-000</v>
          </cell>
          <cell r="C204" t="str">
            <v>Advertising/Marketing</v>
          </cell>
          <cell r="D204">
            <v>0</v>
          </cell>
          <cell r="E204">
            <v>1971</v>
          </cell>
          <cell r="F204">
            <v>0</v>
          </cell>
          <cell r="G204">
            <v>1971</v>
          </cell>
          <cell r="H204">
            <v>1971</v>
          </cell>
        </row>
        <row r="205">
          <cell r="B205" t="str">
            <v>036-6010-000</v>
          </cell>
          <cell r="C205" t="str">
            <v>Office Supplies</v>
          </cell>
          <cell r="D205">
            <v>0</v>
          </cell>
          <cell r="E205">
            <v>452.09</v>
          </cell>
          <cell r="F205">
            <v>0</v>
          </cell>
          <cell r="G205">
            <v>452.09</v>
          </cell>
          <cell r="H205">
            <v>452.09</v>
          </cell>
        </row>
        <row r="206">
          <cell r="B206" t="str">
            <v>036-6020-000</v>
          </cell>
          <cell r="C206" t="str">
            <v>Temporary Service</v>
          </cell>
          <cell r="D206">
            <v>0</v>
          </cell>
          <cell r="E206">
            <v>31313.25</v>
          </cell>
          <cell r="F206">
            <v>9885.75</v>
          </cell>
          <cell r="G206">
            <v>21427.5</v>
          </cell>
          <cell r="H206">
            <v>21427.5</v>
          </cell>
        </row>
        <row r="207">
          <cell r="B207" t="str">
            <v>036-6025-000</v>
          </cell>
          <cell r="C207" t="str">
            <v>Computer Equipment &amp; Software</v>
          </cell>
          <cell r="D207">
            <v>0</v>
          </cell>
          <cell r="E207">
            <v>327.55</v>
          </cell>
          <cell r="F207">
            <v>0</v>
          </cell>
          <cell r="G207">
            <v>327.55</v>
          </cell>
          <cell r="H207">
            <v>327.55</v>
          </cell>
        </row>
        <row r="208">
          <cell r="B208" t="str">
            <v>036-6220-000</v>
          </cell>
          <cell r="C208" t="str">
            <v>Cellular Telephone Service</v>
          </cell>
          <cell r="D208">
            <v>0</v>
          </cell>
          <cell r="E208">
            <v>1104.94</v>
          </cell>
          <cell r="F208">
            <v>0</v>
          </cell>
          <cell r="G208">
            <v>1104.94</v>
          </cell>
          <cell r="H208">
            <v>1104.94</v>
          </cell>
        </row>
        <row r="209">
          <cell r="B209" t="str">
            <v>036-6320-000</v>
          </cell>
          <cell r="C209" t="str">
            <v>Office Meeting exp</v>
          </cell>
          <cell r="D209">
            <v>0</v>
          </cell>
          <cell r="E209">
            <v>39.53</v>
          </cell>
          <cell r="F209">
            <v>0</v>
          </cell>
          <cell r="G209">
            <v>39.53</v>
          </cell>
          <cell r="H209">
            <v>39.53</v>
          </cell>
        </row>
        <row r="210">
          <cell r="B210" t="str">
            <v>036-6340-000</v>
          </cell>
          <cell r="C210" t="str">
            <v>Messenger Services</v>
          </cell>
          <cell r="D210">
            <v>0</v>
          </cell>
          <cell r="E210">
            <v>192.26</v>
          </cell>
          <cell r="F210">
            <v>0</v>
          </cell>
          <cell r="G210">
            <v>192.26</v>
          </cell>
          <cell r="H210">
            <v>192.26</v>
          </cell>
        </row>
        <row r="211">
          <cell r="B211" t="str">
            <v>036-6525-000</v>
          </cell>
          <cell r="C211" t="str">
            <v>Relocation Expenses</v>
          </cell>
          <cell r="D211">
            <v>0</v>
          </cell>
          <cell r="E211">
            <v>5311</v>
          </cell>
          <cell r="F211">
            <v>0</v>
          </cell>
          <cell r="G211">
            <v>5311</v>
          </cell>
          <cell r="H211">
            <v>5311</v>
          </cell>
        </row>
        <row r="212">
          <cell r="B212" t="str">
            <v>036-8530-000</v>
          </cell>
          <cell r="C212" t="str">
            <v>Business Seminar Expenses</v>
          </cell>
          <cell r="D212">
            <v>0</v>
          </cell>
          <cell r="E212">
            <v>343</v>
          </cell>
          <cell r="F212">
            <v>0</v>
          </cell>
          <cell r="G212">
            <v>343</v>
          </cell>
          <cell r="H212">
            <v>343</v>
          </cell>
        </row>
        <row r="213">
          <cell r="B213" t="str">
            <v>037-4024-000</v>
          </cell>
          <cell r="C213" t="str">
            <v>Launch KC- Grant</v>
          </cell>
          <cell r="D213">
            <v>0</v>
          </cell>
          <cell r="E213">
            <v>0</v>
          </cell>
          <cell r="F213">
            <v>30000</v>
          </cell>
          <cell r="G213">
            <v>-30000</v>
          </cell>
          <cell r="H213">
            <v>-30000</v>
          </cell>
        </row>
        <row r="214">
          <cell r="B214" t="str">
            <v>037-5300-000</v>
          </cell>
          <cell r="C214" t="str">
            <v>Launch KC- Travel and Entertainment</v>
          </cell>
          <cell r="D214">
            <v>0</v>
          </cell>
          <cell r="E214">
            <v>6081.33</v>
          </cell>
          <cell r="F214">
            <v>0</v>
          </cell>
          <cell r="G214">
            <v>6081.33</v>
          </cell>
          <cell r="H214">
            <v>6081.33</v>
          </cell>
        </row>
        <row r="215">
          <cell r="B215" t="str">
            <v>037-5351-000</v>
          </cell>
          <cell r="C215" t="str">
            <v>Launch KC- Advertising/Marketing</v>
          </cell>
          <cell r="D215">
            <v>0</v>
          </cell>
          <cell r="E215">
            <v>64659.72</v>
          </cell>
          <cell r="F215">
            <v>0</v>
          </cell>
          <cell r="G215">
            <v>64659.72</v>
          </cell>
          <cell r="H215">
            <v>64659.72</v>
          </cell>
        </row>
        <row r="216">
          <cell r="B216" t="str">
            <v>037-6040-000</v>
          </cell>
          <cell r="C216" t="str">
            <v>Launch KC- - Contribution and Sponsorship</v>
          </cell>
          <cell r="D216">
            <v>0</v>
          </cell>
          <cell r="E216">
            <v>4000</v>
          </cell>
          <cell r="F216">
            <v>0</v>
          </cell>
          <cell r="G216">
            <v>4000</v>
          </cell>
          <cell r="H216">
            <v>4000</v>
          </cell>
        </row>
        <row r="217">
          <cell r="B217" t="str">
            <v>037-6540-000</v>
          </cell>
          <cell r="C217" t="str">
            <v>Launch KC-Sponsorship</v>
          </cell>
          <cell r="D217">
            <v>0</v>
          </cell>
          <cell r="E217">
            <v>800</v>
          </cell>
          <cell r="F217">
            <v>0</v>
          </cell>
          <cell r="G217">
            <v>800</v>
          </cell>
          <cell r="H217">
            <v>800</v>
          </cell>
        </row>
        <row r="218">
          <cell r="B218" t="str">
            <v>045-5010-000</v>
          </cell>
          <cell r="C218" t="str">
            <v>Compensation</v>
          </cell>
          <cell r="D218">
            <v>0</v>
          </cell>
          <cell r="E218">
            <v>237267.97</v>
          </cell>
          <cell r="F218">
            <v>71585.72</v>
          </cell>
          <cell r="G218">
            <v>165682.25</v>
          </cell>
          <cell r="H218">
            <v>165682.25</v>
          </cell>
        </row>
        <row r="219">
          <cell r="B219" t="str">
            <v>045-5120-000</v>
          </cell>
          <cell r="C219" t="str">
            <v>Payroll Taxes-FICA Medicare</v>
          </cell>
          <cell r="D219">
            <v>0</v>
          </cell>
          <cell r="E219">
            <v>17047.830000000002</v>
          </cell>
          <cell r="F219">
            <v>4835.82</v>
          </cell>
          <cell r="G219">
            <v>12212.01</v>
          </cell>
          <cell r="H219">
            <v>12212.01</v>
          </cell>
        </row>
        <row r="220">
          <cell r="B220" t="str">
            <v>045-5200-000</v>
          </cell>
          <cell r="C220" t="str">
            <v>Employee Parking</v>
          </cell>
          <cell r="D220">
            <v>0</v>
          </cell>
          <cell r="E220">
            <v>2991.09</v>
          </cell>
          <cell r="F220">
            <v>390.8</v>
          </cell>
          <cell r="G220">
            <v>2600.29</v>
          </cell>
          <cell r="H220">
            <v>2600.29</v>
          </cell>
        </row>
        <row r="221">
          <cell r="B221" t="str">
            <v>045-5210-000</v>
          </cell>
          <cell r="C221" t="str">
            <v>Medical Insurance</v>
          </cell>
          <cell r="D221">
            <v>0</v>
          </cell>
          <cell r="E221">
            <v>10978.3</v>
          </cell>
          <cell r="F221">
            <v>4195.38</v>
          </cell>
          <cell r="G221">
            <v>6782.92</v>
          </cell>
          <cell r="H221">
            <v>6782.92</v>
          </cell>
        </row>
        <row r="222">
          <cell r="B222" t="str">
            <v>045-5220-000</v>
          </cell>
          <cell r="C222" t="str">
            <v>Life Insurance</v>
          </cell>
          <cell r="D222">
            <v>0</v>
          </cell>
          <cell r="E222">
            <v>348</v>
          </cell>
          <cell r="F222">
            <v>0</v>
          </cell>
          <cell r="G222">
            <v>348</v>
          </cell>
          <cell r="H222">
            <v>348</v>
          </cell>
        </row>
        <row r="223">
          <cell r="B223" t="str">
            <v>045-5230-000</v>
          </cell>
          <cell r="C223" t="str">
            <v>Dental Insurance</v>
          </cell>
          <cell r="D223">
            <v>0</v>
          </cell>
          <cell r="E223">
            <v>730.98</v>
          </cell>
          <cell r="F223">
            <v>333.73</v>
          </cell>
          <cell r="G223">
            <v>397.25</v>
          </cell>
          <cell r="H223">
            <v>397.25</v>
          </cell>
        </row>
        <row r="224">
          <cell r="B224" t="str">
            <v>045-5240-000</v>
          </cell>
          <cell r="C224" t="str">
            <v>Vision Insurance</v>
          </cell>
          <cell r="D224">
            <v>0</v>
          </cell>
          <cell r="E224">
            <v>106.68</v>
          </cell>
          <cell r="F224">
            <v>178.05</v>
          </cell>
          <cell r="G224">
            <v>-71.37</v>
          </cell>
          <cell r="H224">
            <v>-71.37</v>
          </cell>
        </row>
        <row r="225">
          <cell r="B225" t="str">
            <v>045-5250-000</v>
          </cell>
          <cell r="C225" t="str">
            <v>Disability Insurance</v>
          </cell>
          <cell r="D225">
            <v>0</v>
          </cell>
          <cell r="E225">
            <v>1364.57</v>
          </cell>
          <cell r="F225">
            <v>0</v>
          </cell>
          <cell r="G225">
            <v>1364.57</v>
          </cell>
          <cell r="H225">
            <v>1364.57</v>
          </cell>
        </row>
        <row r="226">
          <cell r="B226" t="str">
            <v>045-5270-000</v>
          </cell>
          <cell r="C226" t="str">
            <v>401K Contribution</v>
          </cell>
          <cell r="D226">
            <v>0</v>
          </cell>
          <cell r="E226">
            <v>22023.01</v>
          </cell>
          <cell r="F226">
            <v>12203.52</v>
          </cell>
          <cell r="G226">
            <v>9819.49</v>
          </cell>
          <cell r="H226">
            <v>9819.49</v>
          </cell>
        </row>
        <row r="227">
          <cell r="B227" t="str">
            <v>TRIAL BALANCE SUMMARY FOR 2016</v>
          </cell>
          <cell r="C227">
            <v>42443</v>
          </cell>
          <cell r="D227">
            <v>0.59376157407407404</v>
          </cell>
          <cell r="E227" t="str">
            <v>Page:</v>
          </cell>
          <cell r="F227">
            <v>4</v>
          </cell>
          <cell r="G227" t="str">
            <v>User Date:</v>
          </cell>
          <cell r="H227">
            <v>42443</v>
          </cell>
        </row>
        <row r="229">
          <cell r="B229" t="str">
            <v>Account</v>
          </cell>
          <cell r="C229" t="str">
            <v>Description</v>
          </cell>
          <cell r="D229" t="str">
            <v>Beginning Balance</v>
          </cell>
          <cell r="E229" t="str">
            <v>Credit</v>
          </cell>
          <cell r="F229" t="str">
            <v>Net Change</v>
          </cell>
          <cell r="G229" t="str">
            <v>Ending Balance</v>
          </cell>
          <cell r="H229" t="str">
            <v>Debit</v>
          </cell>
        </row>
        <row r="230">
          <cell r="B230" t="str">
            <v>045-6010-000</v>
          </cell>
          <cell r="C230" t="str">
            <v>LCRA- - Office Supplies</v>
          </cell>
          <cell r="D230">
            <v>0</v>
          </cell>
          <cell r="E230">
            <v>27.95</v>
          </cell>
          <cell r="F230">
            <v>0</v>
          </cell>
          <cell r="G230">
            <v>27.95</v>
          </cell>
          <cell r="H230">
            <v>27.95</v>
          </cell>
        </row>
        <row r="231">
          <cell r="B231" t="str">
            <v>045-6340-000</v>
          </cell>
          <cell r="C231" t="str">
            <v>LCRA- -Messenger Service</v>
          </cell>
          <cell r="D231">
            <v>0</v>
          </cell>
          <cell r="E231">
            <v>138.07</v>
          </cell>
          <cell r="F231">
            <v>0</v>
          </cell>
          <cell r="G231">
            <v>138.07</v>
          </cell>
          <cell r="H231">
            <v>138.07</v>
          </cell>
        </row>
        <row r="232">
          <cell r="B232" t="str">
            <v>045-6350-000</v>
          </cell>
          <cell r="C232" t="str">
            <v>LCRA- - Board Parking</v>
          </cell>
          <cell r="D232">
            <v>0</v>
          </cell>
          <cell r="E232">
            <v>22.09</v>
          </cell>
          <cell r="F232">
            <v>0</v>
          </cell>
          <cell r="G232">
            <v>22.09</v>
          </cell>
          <cell r="H232">
            <v>22.09</v>
          </cell>
        </row>
        <row r="233">
          <cell r="B233" t="str">
            <v>060-3000-000</v>
          </cell>
          <cell r="C233" t="str">
            <v>City-General Fund</v>
          </cell>
          <cell r="D233">
            <v>0</v>
          </cell>
          <cell r="E233">
            <v>0</v>
          </cell>
          <cell r="F233">
            <v>180000</v>
          </cell>
          <cell r="G233">
            <v>-180000</v>
          </cell>
          <cell r="H233">
            <v>-180000</v>
          </cell>
        </row>
        <row r="234">
          <cell r="B234" t="str">
            <v>060-5010-000</v>
          </cell>
          <cell r="C234" t="str">
            <v>Compensation</v>
          </cell>
          <cell r="D234">
            <v>0</v>
          </cell>
          <cell r="E234">
            <v>403120.5</v>
          </cell>
          <cell r="F234">
            <v>105578.9</v>
          </cell>
          <cell r="G234">
            <v>297541.59999999998</v>
          </cell>
          <cell r="H234">
            <v>297541.59999999998</v>
          </cell>
        </row>
        <row r="235">
          <cell r="B235" t="str">
            <v>060-5120-000</v>
          </cell>
          <cell r="C235" t="str">
            <v>Payroll Taxes-FICA Medicare</v>
          </cell>
          <cell r="D235">
            <v>0</v>
          </cell>
          <cell r="E235">
            <v>29188.49</v>
          </cell>
          <cell r="F235">
            <v>7173.48</v>
          </cell>
          <cell r="G235">
            <v>22015.01</v>
          </cell>
          <cell r="H235">
            <v>22015.01</v>
          </cell>
        </row>
        <row r="236">
          <cell r="B236" t="str">
            <v>060-5200-000</v>
          </cell>
          <cell r="C236" t="str">
            <v>Employee Parking</v>
          </cell>
          <cell r="D236">
            <v>0</v>
          </cell>
          <cell r="E236">
            <v>3585.94</v>
          </cell>
          <cell r="F236">
            <v>847.5</v>
          </cell>
          <cell r="G236">
            <v>2738.44</v>
          </cell>
          <cell r="H236">
            <v>2738.44</v>
          </cell>
        </row>
        <row r="237">
          <cell r="B237" t="str">
            <v>060-5210-000</v>
          </cell>
          <cell r="C237" t="str">
            <v>Medical Insurance</v>
          </cell>
          <cell r="D237">
            <v>0</v>
          </cell>
          <cell r="E237">
            <v>40102.93</v>
          </cell>
          <cell r="F237">
            <v>17077.97</v>
          </cell>
          <cell r="G237">
            <v>23024.959999999999</v>
          </cell>
          <cell r="H237">
            <v>23024.959999999999</v>
          </cell>
        </row>
        <row r="238">
          <cell r="B238" t="str">
            <v>060-5220-000</v>
          </cell>
          <cell r="C238" t="str">
            <v>Life Insurance</v>
          </cell>
          <cell r="D238">
            <v>0</v>
          </cell>
          <cell r="E238">
            <v>821.35</v>
          </cell>
          <cell r="F238">
            <v>335.47</v>
          </cell>
          <cell r="G238">
            <v>485.88</v>
          </cell>
          <cell r="H238">
            <v>485.88</v>
          </cell>
        </row>
        <row r="239">
          <cell r="B239" t="str">
            <v>060-5230-000</v>
          </cell>
          <cell r="C239" t="str">
            <v>Dental Insurance</v>
          </cell>
          <cell r="D239">
            <v>0</v>
          </cell>
          <cell r="E239">
            <v>2086.6799999999998</v>
          </cell>
          <cell r="F239">
            <v>655.38</v>
          </cell>
          <cell r="G239">
            <v>1431.3</v>
          </cell>
          <cell r="H239">
            <v>1431.3</v>
          </cell>
        </row>
        <row r="240">
          <cell r="B240" t="str">
            <v>060-5240-000</v>
          </cell>
          <cell r="C240" t="str">
            <v>Vision Insurance</v>
          </cell>
          <cell r="D240">
            <v>0</v>
          </cell>
          <cell r="E240">
            <v>672.52</v>
          </cell>
          <cell r="F240">
            <v>89.17</v>
          </cell>
          <cell r="G240">
            <v>583.35</v>
          </cell>
          <cell r="H240">
            <v>583.35</v>
          </cell>
        </row>
        <row r="241">
          <cell r="B241" t="str">
            <v>060-5250-000</v>
          </cell>
          <cell r="C241" t="str">
            <v>Disability Insurance</v>
          </cell>
          <cell r="D241">
            <v>0</v>
          </cell>
          <cell r="E241">
            <v>2381.42</v>
          </cell>
          <cell r="F241">
            <v>0</v>
          </cell>
          <cell r="G241">
            <v>2381.42</v>
          </cell>
          <cell r="H241">
            <v>2381.42</v>
          </cell>
        </row>
        <row r="242">
          <cell r="B242" t="str">
            <v>060-5270-000</v>
          </cell>
          <cell r="C242" t="str">
            <v>401K Contribution</v>
          </cell>
          <cell r="D242">
            <v>0</v>
          </cell>
          <cell r="E242">
            <v>34540.14</v>
          </cell>
          <cell r="F242">
            <v>8458.33</v>
          </cell>
          <cell r="G242">
            <v>26081.81</v>
          </cell>
          <cell r="H242">
            <v>26081.81</v>
          </cell>
        </row>
        <row r="243">
          <cell r="B243" t="str">
            <v>060-5300-000</v>
          </cell>
          <cell r="C243" t="str">
            <v>Travel &amp; Entertainment</v>
          </cell>
          <cell r="D243">
            <v>0</v>
          </cell>
          <cell r="E243">
            <v>476.01</v>
          </cell>
          <cell r="F243">
            <v>0</v>
          </cell>
          <cell r="G243">
            <v>476.01</v>
          </cell>
          <cell r="H243">
            <v>476.01</v>
          </cell>
        </row>
        <row r="244">
          <cell r="B244" t="str">
            <v>060-5310-000</v>
          </cell>
          <cell r="C244" t="str">
            <v>Professional Activities</v>
          </cell>
          <cell r="D244">
            <v>0</v>
          </cell>
          <cell r="E244">
            <v>100.51</v>
          </cell>
          <cell r="F244">
            <v>0</v>
          </cell>
          <cell r="G244">
            <v>100.51</v>
          </cell>
          <cell r="H244">
            <v>100.51</v>
          </cell>
        </row>
        <row r="245">
          <cell r="B245" t="str">
            <v>060-6010-000</v>
          </cell>
          <cell r="C245" t="str">
            <v>TIF Commission- - Office Supplies</v>
          </cell>
          <cell r="D245">
            <v>0</v>
          </cell>
          <cell r="E245">
            <v>117.14</v>
          </cell>
          <cell r="F245">
            <v>0</v>
          </cell>
          <cell r="G245">
            <v>117.14</v>
          </cell>
          <cell r="H245">
            <v>117.14</v>
          </cell>
        </row>
        <row r="246">
          <cell r="B246" t="str">
            <v>060-6320-000</v>
          </cell>
          <cell r="C246" t="str">
            <v>TIF Commission - Meeting Expense</v>
          </cell>
          <cell r="D246">
            <v>0</v>
          </cell>
          <cell r="E246">
            <v>43</v>
          </cell>
          <cell r="F246">
            <v>0</v>
          </cell>
          <cell r="G246">
            <v>43</v>
          </cell>
          <cell r="H246">
            <v>43</v>
          </cell>
        </row>
        <row r="247">
          <cell r="B247" t="str">
            <v>060-6340-000</v>
          </cell>
          <cell r="C247" t="str">
            <v>TIF Commission- - Messenger Servide</v>
          </cell>
          <cell r="D247">
            <v>0</v>
          </cell>
          <cell r="E247">
            <v>27.6</v>
          </cell>
          <cell r="F247">
            <v>0</v>
          </cell>
          <cell r="G247">
            <v>27.6</v>
          </cell>
          <cell r="H247">
            <v>27.6</v>
          </cell>
        </row>
        <row r="248">
          <cell r="B248" t="str">
            <v>060-6350-000</v>
          </cell>
          <cell r="C248" t="str">
            <v>TIF Commission- - Board Parking</v>
          </cell>
          <cell r="D248">
            <v>0</v>
          </cell>
          <cell r="E248">
            <v>61.19</v>
          </cell>
          <cell r="F248">
            <v>0</v>
          </cell>
          <cell r="G248">
            <v>61.19</v>
          </cell>
          <cell r="H248">
            <v>61.19</v>
          </cell>
        </row>
        <row r="249">
          <cell r="B249" t="str">
            <v>060-6500-000</v>
          </cell>
          <cell r="C249" t="str">
            <v>TIF Commission-Accounting Services</v>
          </cell>
          <cell r="D249">
            <v>0</v>
          </cell>
          <cell r="E249">
            <v>108157.5</v>
          </cell>
          <cell r="F249">
            <v>0</v>
          </cell>
          <cell r="G249">
            <v>108157.5</v>
          </cell>
          <cell r="H249">
            <v>108157.5</v>
          </cell>
        </row>
        <row r="250">
          <cell r="B250" t="str">
            <v>060-6530-000</v>
          </cell>
          <cell r="C250" t="str">
            <v>TIF Commission- - Consultant Expense</v>
          </cell>
          <cell r="D250">
            <v>0</v>
          </cell>
          <cell r="E250">
            <v>114.4</v>
          </cell>
          <cell r="F250">
            <v>0</v>
          </cell>
          <cell r="G250">
            <v>114.4</v>
          </cell>
          <cell r="H250">
            <v>114.4</v>
          </cell>
        </row>
        <row r="251">
          <cell r="B251" t="str">
            <v>080-5405-000</v>
          </cell>
          <cell r="C251" t="str">
            <v>Miscellaneous Admin Expense - NSP</v>
          </cell>
          <cell r="D251">
            <v>0</v>
          </cell>
          <cell r="E251">
            <v>4715.91</v>
          </cell>
          <cell r="F251">
            <v>3442</v>
          </cell>
          <cell r="G251">
            <v>1273.9100000000001</v>
          </cell>
          <cell r="H251">
            <v>1273.9100000000001</v>
          </cell>
        </row>
        <row r="252">
          <cell r="B252" t="str">
            <v>Beginning Balance</v>
          </cell>
          <cell r="C252" t="str">
            <v>Debit</v>
          </cell>
          <cell r="D252" t="str">
            <v>Credit</v>
          </cell>
          <cell r="E252" t="str">
            <v>Net Change</v>
          </cell>
          <cell r="F252" t="str">
            <v>Ending Balance</v>
          </cell>
        </row>
        <row r="253">
          <cell r="B253">
            <v>234</v>
          </cell>
          <cell r="C253">
            <v>0</v>
          </cell>
          <cell r="D253">
            <v>23575851.969999999</v>
          </cell>
          <cell r="E253">
            <v>23575851.969999999</v>
          </cell>
          <cell r="F253">
            <v>0</v>
          </cell>
          <cell r="G253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1"/>
    </sheetNames>
    <sheetDataSet>
      <sheetData sheetId="0">
        <row r="9">
          <cell r="B9" t="str">
            <v>000-1105-000</v>
          </cell>
          <cell r="C9" t="str">
            <v>Cash - Payroll</v>
          </cell>
          <cell r="D9">
            <v>0</v>
          </cell>
          <cell r="E9">
            <v>160162.35999999999</v>
          </cell>
          <cell r="F9">
            <v>160162.35999999999</v>
          </cell>
          <cell r="G9">
            <v>0</v>
          </cell>
          <cell r="H9">
            <v>0</v>
          </cell>
        </row>
        <row r="10">
          <cell r="B10" t="str">
            <v>000-1110-000</v>
          </cell>
          <cell r="C10" t="str">
            <v>Petty Cash</v>
          </cell>
          <cell r="D10">
            <v>54.92</v>
          </cell>
          <cell r="E10">
            <v>0</v>
          </cell>
          <cell r="F10">
            <v>0</v>
          </cell>
          <cell r="G10">
            <v>0</v>
          </cell>
          <cell r="H10">
            <v>54.92</v>
          </cell>
        </row>
        <row r="11">
          <cell r="B11" t="str">
            <v>000-1115-000</v>
          </cell>
          <cell r="C11" t="str">
            <v>cash - EDC General</v>
          </cell>
          <cell r="D11">
            <v>387323.88</v>
          </cell>
          <cell r="E11">
            <v>563820.72</v>
          </cell>
          <cell r="F11">
            <v>386983.54</v>
          </cell>
          <cell r="G11">
            <v>176837.18</v>
          </cell>
          <cell r="H11">
            <v>564161.06000000006</v>
          </cell>
        </row>
        <row r="12">
          <cell r="B12" t="str">
            <v>000-1117-000</v>
          </cell>
          <cell r="C12" t="str">
            <v>PC Replacement Program</v>
          </cell>
          <cell r="D12">
            <v>70000</v>
          </cell>
          <cell r="E12">
            <v>0</v>
          </cell>
          <cell r="F12">
            <v>0</v>
          </cell>
          <cell r="G12">
            <v>0</v>
          </cell>
          <cell r="H12">
            <v>70000</v>
          </cell>
        </row>
        <row r="13">
          <cell r="B13" t="str">
            <v>000-1119-000</v>
          </cell>
          <cell r="C13" t="str">
            <v>EDC Reserve Account</v>
          </cell>
          <cell r="D13">
            <v>391298.7</v>
          </cell>
          <cell r="E13">
            <v>66.290000000000006</v>
          </cell>
          <cell r="F13">
            <v>0</v>
          </cell>
          <cell r="G13">
            <v>66.290000000000006</v>
          </cell>
          <cell r="H13">
            <v>391364.99</v>
          </cell>
        </row>
        <row r="14">
          <cell r="B14" t="str">
            <v>000-1120-000</v>
          </cell>
          <cell r="C14" t="str">
            <v>EDC Investments</v>
          </cell>
          <cell r="D14">
            <v>617981.63</v>
          </cell>
          <cell r="E14">
            <v>0</v>
          </cell>
          <cell r="F14">
            <v>0</v>
          </cell>
          <cell r="G14">
            <v>0</v>
          </cell>
          <cell r="H14">
            <v>617981.63</v>
          </cell>
        </row>
        <row r="15">
          <cell r="B15" t="str">
            <v>000-1175-000</v>
          </cell>
          <cell r="C15" t="str">
            <v>Prepaid Insurance</v>
          </cell>
          <cell r="D15">
            <v>36473.730000000003</v>
          </cell>
          <cell r="E15">
            <v>20659</v>
          </cell>
          <cell r="F15">
            <v>2290.83</v>
          </cell>
          <cell r="G15">
            <v>18368.169999999998</v>
          </cell>
          <cell r="H15">
            <v>54841.9</v>
          </cell>
        </row>
        <row r="16">
          <cell r="B16" t="str">
            <v>000-1180-000</v>
          </cell>
          <cell r="C16" t="str">
            <v>Prepaid Expenses</v>
          </cell>
          <cell r="D16">
            <v>35630.910000000003</v>
          </cell>
          <cell r="E16">
            <v>7655.55</v>
          </cell>
          <cell r="F16">
            <v>1240.58</v>
          </cell>
          <cell r="G16">
            <v>6414.97</v>
          </cell>
          <cell r="H16">
            <v>42045.88</v>
          </cell>
        </row>
        <row r="17">
          <cell r="B17" t="str">
            <v>000-1200-000</v>
          </cell>
          <cell r="C17" t="str">
            <v>Accounts Receivable</v>
          </cell>
          <cell r="D17">
            <v>38018.11</v>
          </cell>
          <cell r="E17">
            <v>4704.53</v>
          </cell>
          <cell r="F17">
            <v>13118.08</v>
          </cell>
          <cell r="G17">
            <v>-8413.5499999999993</v>
          </cell>
          <cell r="H17">
            <v>29604.560000000001</v>
          </cell>
        </row>
        <row r="18">
          <cell r="B18" t="str">
            <v>000-1201-000</v>
          </cell>
          <cell r="C18" t="str">
            <v>Accounts Receivable-Related Party</v>
          </cell>
          <cell r="D18">
            <v>200</v>
          </cell>
          <cell r="E18">
            <v>323</v>
          </cell>
          <cell r="F18">
            <v>454</v>
          </cell>
          <cell r="G18">
            <v>-131</v>
          </cell>
          <cell r="H18">
            <v>69</v>
          </cell>
        </row>
        <row r="19">
          <cell r="B19" t="str">
            <v>000-1203-000</v>
          </cell>
          <cell r="C19" t="str">
            <v>Accounts Receivable - NSP</v>
          </cell>
          <cell r="D19">
            <v>805</v>
          </cell>
          <cell r="E19">
            <v>0</v>
          </cell>
          <cell r="F19">
            <v>440</v>
          </cell>
          <cell r="G19">
            <v>-440</v>
          </cell>
          <cell r="H19">
            <v>365</v>
          </cell>
        </row>
        <row r="20">
          <cell r="B20" t="str">
            <v>000-1204-000</v>
          </cell>
          <cell r="C20" t="str">
            <v>Due from EDC Loan</v>
          </cell>
          <cell r="D20">
            <v>28932.32</v>
          </cell>
          <cell r="E20">
            <v>0</v>
          </cell>
          <cell r="F20">
            <v>8791.89</v>
          </cell>
          <cell r="G20">
            <v>-8791.89</v>
          </cell>
          <cell r="H20">
            <v>20140.43</v>
          </cell>
        </row>
        <row r="21">
          <cell r="B21" t="str">
            <v>000-1210-000</v>
          </cell>
          <cell r="C21" t="str">
            <v>Accrued Interest Receivable</v>
          </cell>
          <cell r="D21">
            <v>712.4</v>
          </cell>
          <cell r="E21">
            <v>102.21</v>
          </cell>
          <cell r="F21">
            <v>0</v>
          </cell>
          <cell r="G21">
            <v>102.21</v>
          </cell>
          <cell r="H21">
            <v>814.61</v>
          </cell>
        </row>
        <row r="22">
          <cell r="B22" t="str">
            <v>000-1500-000</v>
          </cell>
          <cell r="C22" t="str">
            <v>Furniture &amp; Fixtures</v>
          </cell>
          <cell r="D22">
            <v>290674</v>
          </cell>
          <cell r="E22">
            <v>0</v>
          </cell>
          <cell r="F22">
            <v>0</v>
          </cell>
          <cell r="G22">
            <v>0</v>
          </cell>
          <cell r="H22">
            <v>290674</v>
          </cell>
        </row>
        <row r="23">
          <cell r="B23" t="str">
            <v>000-1505-000</v>
          </cell>
          <cell r="C23" t="str">
            <v>Leasehold Improvements</v>
          </cell>
          <cell r="D23">
            <v>31357.25</v>
          </cell>
          <cell r="E23">
            <v>0</v>
          </cell>
          <cell r="F23">
            <v>0</v>
          </cell>
          <cell r="G23">
            <v>0</v>
          </cell>
          <cell r="H23">
            <v>31357.25</v>
          </cell>
        </row>
        <row r="24">
          <cell r="B24" t="str">
            <v>000-1510-000</v>
          </cell>
          <cell r="C24" t="str">
            <v>Computer Hardware</v>
          </cell>
          <cell r="D24">
            <v>271861.51</v>
          </cell>
          <cell r="E24">
            <v>0</v>
          </cell>
          <cell r="F24">
            <v>0</v>
          </cell>
          <cell r="G24">
            <v>0</v>
          </cell>
          <cell r="H24">
            <v>271861.51</v>
          </cell>
        </row>
        <row r="25">
          <cell r="B25" t="str">
            <v>000-1515-000</v>
          </cell>
          <cell r="C25" t="str">
            <v>Computer Software</v>
          </cell>
          <cell r="D25">
            <v>56616.71</v>
          </cell>
          <cell r="E25">
            <v>0</v>
          </cell>
          <cell r="F25">
            <v>0</v>
          </cell>
          <cell r="G25">
            <v>0</v>
          </cell>
          <cell r="H25">
            <v>56616.71</v>
          </cell>
        </row>
        <row r="26">
          <cell r="B26" t="str">
            <v>000-1520-000</v>
          </cell>
          <cell r="C26" t="str">
            <v>Additional Fixed Assets</v>
          </cell>
          <cell r="D26">
            <v>512.96</v>
          </cell>
          <cell r="E26">
            <v>0</v>
          </cell>
          <cell r="F26">
            <v>512.96</v>
          </cell>
          <cell r="G26">
            <v>-512.96</v>
          </cell>
          <cell r="H26">
            <v>0</v>
          </cell>
        </row>
        <row r="27">
          <cell r="B27" t="str">
            <v>000-1610-000</v>
          </cell>
          <cell r="C27" t="str">
            <v>Accum. Depr. Comp. Hardware</v>
          </cell>
          <cell r="D27">
            <v>-265324.64</v>
          </cell>
          <cell r="E27">
            <v>0</v>
          </cell>
          <cell r="F27">
            <v>564.76</v>
          </cell>
          <cell r="G27">
            <v>-564.76</v>
          </cell>
          <cell r="H27">
            <v>-265889.40000000002</v>
          </cell>
        </row>
        <row r="28">
          <cell r="B28" t="str">
            <v>000-1620-000</v>
          </cell>
          <cell r="C28" t="str">
            <v>Accum. Depr. Comp. Software</v>
          </cell>
          <cell r="D28">
            <v>-51593.51</v>
          </cell>
          <cell r="E28">
            <v>0</v>
          </cell>
          <cell r="F28">
            <v>167.8</v>
          </cell>
          <cell r="G28">
            <v>-167.8</v>
          </cell>
          <cell r="H28">
            <v>-51761.31</v>
          </cell>
        </row>
        <row r="29">
          <cell r="B29" t="str">
            <v>000-1630-000</v>
          </cell>
          <cell r="C29" t="str">
            <v>Accum. Depr. Furn. &amp; Fixtures</v>
          </cell>
          <cell r="D29">
            <v>-278733.02</v>
          </cell>
          <cell r="E29">
            <v>0</v>
          </cell>
          <cell r="F29">
            <v>429.53</v>
          </cell>
          <cell r="G29">
            <v>-429.53</v>
          </cell>
          <cell r="H29">
            <v>-279162.55</v>
          </cell>
        </row>
        <row r="30">
          <cell r="B30" t="str">
            <v>000-1640-000</v>
          </cell>
          <cell r="C30" t="str">
            <v>Accum. Depr. Leasehold Improv.</v>
          </cell>
          <cell r="D30">
            <v>-17273.46</v>
          </cell>
          <cell r="E30">
            <v>0</v>
          </cell>
          <cell r="F30">
            <v>205.03</v>
          </cell>
          <cell r="G30">
            <v>-205.03</v>
          </cell>
          <cell r="H30">
            <v>-17478.490000000002</v>
          </cell>
        </row>
        <row r="31">
          <cell r="B31" t="str">
            <v>000-2000-000</v>
          </cell>
          <cell r="C31" t="str">
            <v>Accounts Payable</v>
          </cell>
          <cell r="D31">
            <v>-59045.14</v>
          </cell>
          <cell r="E31">
            <v>193029.93</v>
          </cell>
          <cell r="F31">
            <v>181781.38</v>
          </cell>
          <cell r="G31">
            <v>11248.55</v>
          </cell>
          <cell r="H31">
            <v>-47796.59</v>
          </cell>
        </row>
        <row r="32">
          <cell r="B32" t="str">
            <v>000-2003-000</v>
          </cell>
          <cell r="C32" t="str">
            <v>Accounts Payable - NSP</v>
          </cell>
          <cell r="D32">
            <v>0</v>
          </cell>
          <cell r="E32">
            <v>788</v>
          </cell>
          <cell r="F32">
            <v>788</v>
          </cell>
          <cell r="G32">
            <v>0</v>
          </cell>
          <cell r="H32">
            <v>0</v>
          </cell>
        </row>
        <row r="33">
          <cell r="B33" t="str">
            <v>000-2005-000</v>
          </cell>
          <cell r="C33" t="str">
            <v>Accrued Liabilities</v>
          </cell>
          <cell r="D33">
            <v>-41395</v>
          </cell>
          <cell r="E33">
            <v>0</v>
          </cell>
          <cell r="F33">
            <v>15600</v>
          </cell>
          <cell r="G33">
            <v>-15600</v>
          </cell>
          <cell r="H33">
            <v>-56995</v>
          </cell>
        </row>
        <row r="34">
          <cell r="B34" t="str">
            <v>000-2006-000</v>
          </cell>
          <cell r="C34" t="str">
            <v>Accrued Payroll Expenses</v>
          </cell>
          <cell r="D34">
            <v>-37485.120000000003</v>
          </cell>
          <cell r="E34">
            <v>197069.1</v>
          </cell>
          <cell r="F34">
            <v>209185.39</v>
          </cell>
          <cell r="G34">
            <v>-12116.29</v>
          </cell>
          <cell r="H34">
            <v>-49601.41</v>
          </cell>
        </row>
        <row r="35">
          <cell r="B35" t="str">
            <v>000-2080-000</v>
          </cell>
          <cell r="C35" t="str">
            <v>401K Contributuion Withheld</v>
          </cell>
          <cell r="D35">
            <v>-6529.89</v>
          </cell>
          <cell r="E35">
            <v>18742</v>
          </cell>
          <cell r="F35">
            <v>12212.11</v>
          </cell>
          <cell r="G35">
            <v>6529.89</v>
          </cell>
          <cell r="H35">
            <v>0</v>
          </cell>
        </row>
        <row r="36">
          <cell r="B36" t="str">
            <v>000-2085-000</v>
          </cell>
          <cell r="C36" t="str">
            <v>401K Employer Match Liability</v>
          </cell>
          <cell r="D36">
            <v>-7077.21</v>
          </cell>
          <cell r="E36">
            <v>20591.47</v>
          </cell>
          <cell r="F36">
            <v>13514.26</v>
          </cell>
          <cell r="G36">
            <v>7077.21</v>
          </cell>
          <cell r="H36">
            <v>0</v>
          </cell>
        </row>
        <row r="37">
          <cell r="B37" t="str">
            <v>000-2100-000</v>
          </cell>
          <cell r="C37" t="str">
            <v>United Way Contr. Withheld</v>
          </cell>
          <cell r="D37">
            <v>0</v>
          </cell>
          <cell r="E37">
            <v>402</v>
          </cell>
          <cell r="F37">
            <v>402</v>
          </cell>
          <cell r="G37">
            <v>0</v>
          </cell>
          <cell r="H37">
            <v>0</v>
          </cell>
        </row>
        <row r="38">
          <cell r="B38" t="str">
            <v>000-2110-000</v>
          </cell>
          <cell r="C38" t="str">
            <v>Personal Leave Accrual</v>
          </cell>
          <cell r="D38">
            <v>-42172.25</v>
          </cell>
          <cell r="E38">
            <v>0</v>
          </cell>
          <cell r="F38">
            <v>0</v>
          </cell>
          <cell r="G38">
            <v>0</v>
          </cell>
          <cell r="H38">
            <v>-42172.25</v>
          </cell>
        </row>
        <row r="39">
          <cell r="B39" t="str">
            <v>000-2115-000</v>
          </cell>
          <cell r="C39" t="str">
            <v>Cafeteria Plan Liability</v>
          </cell>
          <cell r="D39">
            <v>-3118.57</v>
          </cell>
          <cell r="E39">
            <v>2236.96</v>
          </cell>
          <cell r="F39">
            <v>1576.92</v>
          </cell>
          <cell r="G39">
            <v>660.04</v>
          </cell>
          <cell r="H39">
            <v>-2458.5300000000002</v>
          </cell>
        </row>
        <row r="40">
          <cell r="B40" t="str">
            <v>000-2200-000</v>
          </cell>
          <cell r="C40" t="str">
            <v>Deferred Revenue</v>
          </cell>
          <cell r="D40">
            <v>-85203</v>
          </cell>
          <cell r="E40">
            <v>2373.75</v>
          </cell>
          <cell r="F40">
            <v>43900</v>
          </cell>
          <cell r="G40">
            <v>-41526.25</v>
          </cell>
          <cell r="H40">
            <v>-126729.25</v>
          </cell>
        </row>
        <row r="41">
          <cell r="B41" t="str">
            <v>000-2250-000</v>
          </cell>
          <cell r="C41" t="str">
            <v>Deferred Credit - Lease Incentive</v>
          </cell>
          <cell r="D41">
            <v>-114097.04</v>
          </cell>
          <cell r="E41">
            <v>1512.04</v>
          </cell>
          <cell r="F41">
            <v>0</v>
          </cell>
          <cell r="G41">
            <v>1512.04</v>
          </cell>
          <cell r="H41">
            <v>-112585</v>
          </cell>
        </row>
        <row r="42">
          <cell r="B42" t="str">
            <v>000-2900-000</v>
          </cell>
          <cell r="C42" t="str">
            <v>Fund Balance</v>
          </cell>
          <cell r="D42">
            <v>-1826914.54</v>
          </cell>
          <cell r="E42">
            <v>0</v>
          </cell>
          <cell r="F42">
            <v>0</v>
          </cell>
          <cell r="G42">
            <v>0</v>
          </cell>
          <cell r="H42">
            <v>-1826914.54</v>
          </cell>
        </row>
        <row r="43">
          <cell r="B43" t="str">
            <v>000-2901-000</v>
          </cell>
          <cell r="C43" t="str">
            <v>Fund Balance-PC Replacement Pr-</v>
          </cell>
          <cell r="D43">
            <v>-70000</v>
          </cell>
          <cell r="E43">
            <v>0</v>
          </cell>
          <cell r="F43">
            <v>0</v>
          </cell>
          <cell r="G43">
            <v>0</v>
          </cell>
          <cell r="H43">
            <v>-70000</v>
          </cell>
        </row>
        <row r="44">
          <cell r="B44" t="str">
            <v>000-3000-000</v>
          </cell>
          <cell r="C44" t="str">
            <v>City - General Fund</v>
          </cell>
          <cell r="D44">
            <v>-875000</v>
          </cell>
          <cell r="E44">
            <v>0</v>
          </cell>
          <cell r="F44">
            <v>0</v>
          </cell>
          <cell r="G44">
            <v>0</v>
          </cell>
          <cell r="H44">
            <v>-875000</v>
          </cell>
        </row>
        <row r="45">
          <cell r="B45" t="str">
            <v>000-3300-000</v>
          </cell>
          <cell r="C45" t="str">
            <v>KCIC Fees</v>
          </cell>
          <cell r="D45">
            <v>-9000</v>
          </cell>
          <cell r="E45">
            <v>0</v>
          </cell>
          <cell r="F45">
            <v>0</v>
          </cell>
          <cell r="G45">
            <v>0</v>
          </cell>
          <cell r="H45">
            <v>-9000</v>
          </cell>
        </row>
        <row r="46">
          <cell r="B46" t="str">
            <v>000-4025-000</v>
          </cell>
          <cell r="C46" t="str">
            <v>EDC PIEA Fee Revenue</v>
          </cell>
          <cell r="D46">
            <v>-5000</v>
          </cell>
          <cell r="E46">
            <v>0</v>
          </cell>
          <cell r="F46">
            <v>2000</v>
          </cell>
          <cell r="G46">
            <v>-2000</v>
          </cell>
          <cell r="H46">
            <v>-7000</v>
          </cell>
        </row>
        <row r="47">
          <cell r="B47" t="str">
            <v>000-4040-000</v>
          </cell>
          <cell r="C47" t="str">
            <v>IDA Fees</v>
          </cell>
          <cell r="D47">
            <v>-10200</v>
          </cell>
          <cell r="E47">
            <v>0</v>
          </cell>
          <cell r="F47">
            <v>1700</v>
          </cell>
          <cell r="G47">
            <v>-1700</v>
          </cell>
          <cell r="H47">
            <v>-11900</v>
          </cell>
        </row>
        <row r="48">
          <cell r="B48" t="str">
            <v>000-4050-000</v>
          </cell>
          <cell r="C48" t="str">
            <v>LCRA Fees</v>
          </cell>
          <cell r="D48">
            <v>-25000</v>
          </cell>
          <cell r="E48">
            <v>0</v>
          </cell>
          <cell r="F48">
            <v>0</v>
          </cell>
          <cell r="G48">
            <v>0</v>
          </cell>
          <cell r="H48">
            <v>-25000</v>
          </cell>
        </row>
        <row r="49">
          <cell r="B49" t="str">
            <v>000-4080-000</v>
          </cell>
          <cell r="C49" t="str">
            <v>TIF Fees</v>
          </cell>
          <cell r="D49">
            <v>-800000</v>
          </cell>
          <cell r="E49">
            <v>0</v>
          </cell>
          <cell r="F49">
            <v>500000</v>
          </cell>
          <cell r="G49">
            <v>-500000</v>
          </cell>
          <cell r="H49">
            <v>-1300000</v>
          </cell>
        </row>
        <row r="50">
          <cell r="B50" t="str">
            <v>000-4300-000</v>
          </cell>
          <cell r="C50" t="str">
            <v>Interest Income</v>
          </cell>
          <cell r="D50">
            <v>-1932.63</v>
          </cell>
          <cell r="E50">
            <v>0</v>
          </cell>
          <cell r="F50">
            <v>241.36</v>
          </cell>
          <cell r="G50">
            <v>-241.36</v>
          </cell>
          <cell r="H50">
            <v>-2173.9899999999998</v>
          </cell>
        </row>
        <row r="51">
          <cell r="B51" t="str">
            <v>000-4500-000</v>
          </cell>
          <cell r="C51" t="str">
            <v>Photocopy Recovery</v>
          </cell>
          <cell r="D51">
            <v>-25502.86</v>
          </cell>
          <cell r="E51">
            <v>103.81</v>
          </cell>
          <cell r="F51">
            <v>3176.71</v>
          </cell>
          <cell r="G51">
            <v>-3072.9</v>
          </cell>
          <cell r="H51">
            <v>-28575.759999999998</v>
          </cell>
        </row>
        <row r="52">
          <cell r="B52" t="str">
            <v>000-4600-000</v>
          </cell>
          <cell r="C52" t="str">
            <v>Postage Recovery</v>
          </cell>
          <cell r="D52">
            <v>-1539.28</v>
          </cell>
          <cell r="E52">
            <v>3.95</v>
          </cell>
          <cell r="F52">
            <v>298.27999999999997</v>
          </cell>
          <cell r="G52">
            <v>-294.33</v>
          </cell>
          <cell r="H52">
            <v>-1833.61</v>
          </cell>
        </row>
        <row r="53">
          <cell r="B53" t="str">
            <v>000-5399-000</v>
          </cell>
          <cell r="C53" t="str">
            <v>Miscellaneous Expenses</v>
          </cell>
          <cell r="D53">
            <v>109.44</v>
          </cell>
          <cell r="E53">
            <v>0</v>
          </cell>
          <cell r="F53">
            <v>0</v>
          </cell>
          <cell r="G53">
            <v>0</v>
          </cell>
          <cell r="H53">
            <v>109.44</v>
          </cell>
        </row>
        <row r="54">
          <cell r="B54" t="str">
            <v>000-6040-000</v>
          </cell>
          <cell r="C54" t="str">
            <v>Contribution Exp</v>
          </cell>
          <cell r="D54">
            <v>-1800</v>
          </cell>
          <cell r="E54">
            <v>0</v>
          </cell>
          <cell r="F54">
            <v>0</v>
          </cell>
          <cell r="G54">
            <v>0</v>
          </cell>
          <cell r="H54">
            <v>-1800</v>
          </cell>
        </row>
        <row r="55">
          <cell r="B55" t="str">
            <v>010-5010-000</v>
          </cell>
          <cell r="C55" t="str">
            <v>Compensation</v>
          </cell>
          <cell r="D55">
            <v>240048.13</v>
          </cell>
          <cell r="E55">
            <v>41199.22</v>
          </cell>
          <cell r="F55">
            <v>5513.9</v>
          </cell>
          <cell r="G55">
            <v>35685.32</v>
          </cell>
          <cell r="H55">
            <v>275733.45</v>
          </cell>
        </row>
        <row r="56">
          <cell r="B56" t="str">
            <v>010-5120-000</v>
          </cell>
          <cell r="C56" t="str">
            <v>Payroll Taxes-FICA/Medicare</v>
          </cell>
          <cell r="D56">
            <v>20964.95</v>
          </cell>
          <cell r="E56">
            <v>2923.79</v>
          </cell>
          <cell r="F56">
            <v>396.43</v>
          </cell>
          <cell r="G56">
            <v>2527.36</v>
          </cell>
          <cell r="H56">
            <v>23492.31</v>
          </cell>
        </row>
        <row r="57">
          <cell r="B57" t="str">
            <v>010-5130-000</v>
          </cell>
          <cell r="C57" t="str">
            <v>Unemployment Taxes - FUTA/SUTA</v>
          </cell>
          <cell r="D57">
            <v>649.53</v>
          </cell>
          <cell r="E57">
            <v>4117.7700000000004</v>
          </cell>
          <cell r="F57">
            <v>126.69</v>
          </cell>
          <cell r="G57">
            <v>3991.08</v>
          </cell>
          <cell r="H57">
            <v>4640.6099999999997</v>
          </cell>
        </row>
        <row r="58">
          <cell r="B58" t="str">
            <v>010-5200-000</v>
          </cell>
          <cell r="C58" t="str">
            <v>Employee Parking</v>
          </cell>
          <cell r="D58">
            <v>5531.14</v>
          </cell>
          <cell r="E58">
            <v>1885</v>
          </cell>
          <cell r="F58">
            <v>85</v>
          </cell>
          <cell r="G58">
            <v>1800</v>
          </cell>
          <cell r="H58">
            <v>7331.14</v>
          </cell>
        </row>
        <row r="59">
          <cell r="B59" t="str">
            <v>010-5210-000</v>
          </cell>
          <cell r="C59" t="str">
            <v>Medical Insurance</v>
          </cell>
          <cell r="D59">
            <v>24021.57</v>
          </cell>
          <cell r="E59">
            <v>7533.28</v>
          </cell>
          <cell r="F59">
            <v>1683.38</v>
          </cell>
          <cell r="G59">
            <v>5849.9</v>
          </cell>
          <cell r="H59">
            <v>29871.47</v>
          </cell>
        </row>
        <row r="60">
          <cell r="B60" t="str">
            <v>010-5220-000</v>
          </cell>
          <cell r="C60" t="str">
            <v>Life Insurance</v>
          </cell>
          <cell r="D60">
            <v>2116.11</v>
          </cell>
          <cell r="E60">
            <v>0</v>
          </cell>
          <cell r="F60">
            <v>42.47</v>
          </cell>
          <cell r="G60">
            <v>-42.47</v>
          </cell>
          <cell r="H60">
            <v>2073.64</v>
          </cell>
        </row>
        <row r="61">
          <cell r="B61" t="str">
            <v>010-5230-000</v>
          </cell>
          <cell r="C61" t="str">
            <v>Dental Insurance</v>
          </cell>
          <cell r="D61">
            <v>1650.85</v>
          </cell>
          <cell r="E61">
            <v>335</v>
          </cell>
          <cell r="F61">
            <v>98</v>
          </cell>
          <cell r="G61">
            <v>237</v>
          </cell>
          <cell r="H61">
            <v>1887.85</v>
          </cell>
        </row>
        <row r="62">
          <cell r="B62" t="str">
            <v>010-5240-000</v>
          </cell>
          <cell r="C62" t="str">
            <v>Vision Insurance</v>
          </cell>
          <cell r="D62">
            <v>915.47</v>
          </cell>
          <cell r="E62">
            <v>178.71</v>
          </cell>
          <cell r="F62">
            <v>65.040000000000006</v>
          </cell>
          <cell r="G62">
            <v>113.67</v>
          </cell>
          <cell r="H62">
            <v>1029.1400000000001</v>
          </cell>
        </row>
        <row r="63">
          <cell r="B63" t="str">
            <v>010-5250-000</v>
          </cell>
          <cell r="C63" t="str">
            <v>Disability Insurance</v>
          </cell>
          <cell r="D63">
            <v>4630.68</v>
          </cell>
          <cell r="E63">
            <v>1015.64</v>
          </cell>
          <cell r="F63">
            <v>0</v>
          </cell>
          <cell r="G63">
            <v>1015.64</v>
          </cell>
          <cell r="H63">
            <v>5646.32</v>
          </cell>
        </row>
        <row r="64">
          <cell r="B64" t="str">
            <v>010-5270-000</v>
          </cell>
          <cell r="C64" t="str">
            <v>401K Contribution</v>
          </cell>
          <cell r="D64">
            <v>14974.79</v>
          </cell>
          <cell r="E64">
            <v>3015.96</v>
          </cell>
          <cell r="F64">
            <v>502.44</v>
          </cell>
          <cell r="G64">
            <v>2513.52</v>
          </cell>
          <cell r="H64">
            <v>17488.310000000001</v>
          </cell>
        </row>
        <row r="65">
          <cell r="B65" t="str">
            <v>010-5300-000</v>
          </cell>
          <cell r="C65" t="str">
            <v>Travel &amp; Entertainment</v>
          </cell>
          <cell r="D65">
            <v>3946.97</v>
          </cell>
          <cell r="E65">
            <v>0</v>
          </cell>
          <cell r="F65">
            <v>0</v>
          </cell>
          <cell r="G65">
            <v>0</v>
          </cell>
          <cell r="H65">
            <v>3946.97</v>
          </cell>
        </row>
        <row r="66">
          <cell r="B66" t="str">
            <v>010-5310-000</v>
          </cell>
          <cell r="C66" t="str">
            <v>Professional Activities</v>
          </cell>
          <cell r="D66">
            <v>5489.44</v>
          </cell>
          <cell r="E66">
            <v>1083</v>
          </cell>
          <cell r="F66">
            <v>399</v>
          </cell>
          <cell r="G66">
            <v>684</v>
          </cell>
          <cell r="H66">
            <v>6173.44</v>
          </cell>
        </row>
        <row r="67">
          <cell r="B67" t="str">
            <v>010-5320-000</v>
          </cell>
          <cell r="C67" t="str">
            <v>Continuing Education</v>
          </cell>
          <cell r="D67">
            <v>538</v>
          </cell>
          <cell r="E67">
            <v>149</v>
          </cell>
          <cell r="F67">
            <v>0</v>
          </cell>
          <cell r="G67">
            <v>149</v>
          </cell>
          <cell r="H67">
            <v>687</v>
          </cell>
        </row>
        <row r="68">
          <cell r="B68" t="str">
            <v>010-5330-000</v>
          </cell>
          <cell r="C68" t="str">
            <v>Membership Dues</v>
          </cell>
          <cell r="D68">
            <v>3181</v>
          </cell>
          <cell r="E68">
            <v>225</v>
          </cell>
          <cell r="F68">
            <v>0</v>
          </cell>
          <cell r="G68">
            <v>225</v>
          </cell>
          <cell r="H68">
            <v>3406</v>
          </cell>
        </row>
        <row r="69">
          <cell r="B69" t="str">
            <v>010-5340-000</v>
          </cell>
          <cell r="C69" t="str">
            <v>Subscriptions</v>
          </cell>
          <cell r="D69">
            <v>221</v>
          </cell>
          <cell r="E69">
            <v>1747.72</v>
          </cell>
          <cell r="F69">
            <v>0</v>
          </cell>
          <cell r="G69">
            <v>1747.72</v>
          </cell>
          <cell r="H69">
            <v>1968.72</v>
          </cell>
        </row>
        <row r="70">
          <cell r="B70" t="str">
            <v>010-5350-000</v>
          </cell>
          <cell r="C70" t="str">
            <v>Advertising/Marketing</v>
          </cell>
          <cell r="D70">
            <v>62730</v>
          </cell>
          <cell r="E70">
            <v>7380</v>
          </cell>
          <cell r="F70">
            <v>0</v>
          </cell>
          <cell r="G70">
            <v>7380</v>
          </cell>
          <cell r="H70">
            <v>70110</v>
          </cell>
        </row>
        <row r="71">
          <cell r="B71" t="str">
            <v>010-5399-000</v>
          </cell>
          <cell r="C71" t="str">
            <v>Miscellaneous Expenses</v>
          </cell>
          <cell r="D71">
            <v>4712.4399999999996</v>
          </cell>
          <cell r="E71">
            <v>0</v>
          </cell>
          <cell r="F71">
            <v>0</v>
          </cell>
          <cell r="G71">
            <v>0</v>
          </cell>
          <cell r="H71">
            <v>4712.4399999999996</v>
          </cell>
        </row>
        <row r="72">
          <cell r="B72" t="str">
            <v>010-6010-000</v>
          </cell>
          <cell r="C72" t="str">
            <v>Office Supplies</v>
          </cell>
          <cell r="D72">
            <v>30517.11</v>
          </cell>
          <cell r="E72">
            <v>3534.02</v>
          </cell>
          <cell r="F72">
            <v>0</v>
          </cell>
          <cell r="G72">
            <v>3534.02</v>
          </cell>
          <cell r="H72">
            <v>34051.129999999997</v>
          </cell>
        </row>
        <row r="73">
          <cell r="B73" t="str">
            <v>010-6020-000</v>
          </cell>
          <cell r="C73" t="str">
            <v>Temporary Service</v>
          </cell>
          <cell r="D73">
            <v>4268.76</v>
          </cell>
          <cell r="E73">
            <v>1068.01</v>
          </cell>
          <cell r="F73">
            <v>0</v>
          </cell>
          <cell r="G73">
            <v>1068.01</v>
          </cell>
          <cell r="H73">
            <v>5336.77</v>
          </cell>
        </row>
        <row r="74">
          <cell r="B74" t="str">
            <v>010-6025-000</v>
          </cell>
          <cell r="C74" t="str">
            <v>Computer equipment &amp; software</v>
          </cell>
          <cell r="D74">
            <v>2469.96</v>
          </cell>
          <cell r="E74">
            <v>71.25</v>
          </cell>
          <cell r="F74">
            <v>0</v>
          </cell>
          <cell r="G74">
            <v>71.25</v>
          </cell>
          <cell r="H74">
            <v>2541.21</v>
          </cell>
        </row>
        <row r="75">
          <cell r="B75" t="str">
            <v>TRIAL BALANCE SUMMARY FOR 2016</v>
          </cell>
          <cell r="C75">
            <v>42412</v>
          </cell>
          <cell r="D75">
            <v>0.56245370370370373</v>
          </cell>
          <cell r="E75" t="str">
            <v>Page:</v>
          </cell>
          <cell r="F75">
            <v>2</v>
          </cell>
          <cell r="G75" t="str">
            <v>User Date:</v>
          </cell>
          <cell r="H75">
            <v>42411</v>
          </cell>
        </row>
        <row r="77">
          <cell r="B77" t="str">
            <v>Account</v>
          </cell>
          <cell r="C77" t="str">
            <v>Description</v>
          </cell>
          <cell r="D77" t="str">
            <v>Beginning Balance</v>
          </cell>
          <cell r="E77" t="str">
            <v>Credit</v>
          </cell>
          <cell r="F77" t="str">
            <v>Net Change</v>
          </cell>
          <cell r="G77" t="str">
            <v>Ending Balance</v>
          </cell>
          <cell r="H77" t="str">
            <v>Debit</v>
          </cell>
        </row>
        <row r="78">
          <cell r="B78" t="str">
            <v>010-6040-000</v>
          </cell>
          <cell r="C78" t="str">
            <v>Contribution Expense</v>
          </cell>
          <cell r="D78">
            <v>11820.32</v>
          </cell>
          <cell r="E78">
            <v>297.66000000000003</v>
          </cell>
          <cell r="F78">
            <v>0</v>
          </cell>
          <cell r="G78">
            <v>297.66000000000003</v>
          </cell>
          <cell r="H78">
            <v>12117.98</v>
          </cell>
        </row>
        <row r="79">
          <cell r="B79" t="str">
            <v>010-6100-000</v>
          </cell>
          <cell r="C79" t="str">
            <v>Equipment Leases - Copiers</v>
          </cell>
          <cell r="D79">
            <v>39778.620000000003</v>
          </cell>
          <cell r="E79">
            <v>3977.27</v>
          </cell>
          <cell r="F79">
            <v>0</v>
          </cell>
          <cell r="G79">
            <v>3977.27</v>
          </cell>
          <cell r="H79">
            <v>43755.89</v>
          </cell>
        </row>
        <row r="80">
          <cell r="B80" t="str">
            <v>010-6120-000</v>
          </cell>
          <cell r="C80" t="str">
            <v>Equipment Leases - Computers</v>
          </cell>
          <cell r="D80">
            <v>2993.71</v>
          </cell>
          <cell r="E80">
            <v>695.92</v>
          </cell>
          <cell r="F80">
            <v>0</v>
          </cell>
          <cell r="G80">
            <v>695.92</v>
          </cell>
          <cell r="H80">
            <v>3689.63</v>
          </cell>
        </row>
        <row r="81">
          <cell r="B81" t="str">
            <v>010-6140-000</v>
          </cell>
          <cell r="C81" t="str">
            <v>Equipment Maint. - Computers</v>
          </cell>
          <cell r="D81">
            <v>7465.3</v>
          </cell>
          <cell r="E81">
            <v>952.92</v>
          </cell>
          <cell r="F81">
            <v>0</v>
          </cell>
          <cell r="G81">
            <v>952.92</v>
          </cell>
          <cell r="H81">
            <v>8418.2199999999993</v>
          </cell>
        </row>
        <row r="82">
          <cell r="B82" t="str">
            <v>010-6200-000</v>
          </cell>
          <cell r="C82" t="str">
            <v>Telephone Service</v>
          </cell>
          <cell r="D82">
            <v>9653.1200000000008</v>
          </cell>
          <cell r="E82">
            <v>1134.8</v>
          </cell>
          <cell r="F82">
            <v>0</v>
          </cell>
          <cell r="G82">
            <v>1134.8</v>
          </cell>
          <cell r="H82">
            <v>10787.92</v>
          </cell>
        </row>
        <row r="83">
          <cell r="B83" t="str">
            <v>010-6220-000</v>
          </cell>
          <cell r="C83" t="str">
            <v>Cellular Telephone Service</v>
          </cell>
          <cell r="D83">
            <v>7094.39</v>
          </cell>
          <cell r="E83">
            <v>1191.3800000000001</v>
          </cell>
          <cell r="F83">
            <v>65</v>
          </cell>
          <cell r="G83">
            <v>1126.3800000000001</v>
          </cell>
          <cell r="H83">
            <v>8220.77</v>
          </cell>
        </row>
        <row r="84">
          <cell r="B84" t="str">
            <v>010-6300-000</v>
          </cell>
          <cell r="C84" t="str">
            <v>Outside Reproduction</v>
          </cell>
          <cell r="D84">
            <v>612.26</v>
          </cell>
          <cell r="E84">
            <v>0</v>
          </cell>
          <cell r="F84">
            <v>0</v>
          </cell>
          <cell r="G84">
            <v>0</v>
          </cell>
          <cell r="H84">
            <v>612.26</v>
          </cell>
        </row>
        <row r="85">
          <cell r="B85" t="str">
            <v>010-6310-000</v>
          </cell>
          <cell r="C85" t="str">
            <v>Postage</v>
          </cell>
          <cell r="D85">
            <v>5834.02</v>
          </cell>
          <cell r="E85">
            <v>1882.55</v>
          </cell>
          <cell r="F85">
            <v>0</v>
          </cell>
          <cell r="G85">
            <v>1882.55</v>
          </cell>
          <cell r="H85">
            <v>7716.57</v>
          </cell>
        </row>
        <row r="86">
          <cell r="B86" t="str">
            <v>010-6320-000</v>
          </cell>
          <cell r="C86" t="str">
            <v>Office Meeting Expenses</v>
          </cell>
          <cell r="D86">
            <v>2368.71</v>
          </cell>
          <cell r="E86">
            <v>162.71</v>
          </cell>
          <cell r="F86">
            <v>0</v>
          </cell>
          <cell r="G86">
            <v>162.71</v>
          </cell>
          <cell r="H86">
            <v>2531.42</v>
          </cell>
        </row>
        <row r="87">
          <cell r="B87" t="str">
            <v>010-6340-000</v>
          </cell>
          <cell r="C87" t="str">
            <v>Messenger Services</v>
          </cell>
          <cell r="D87">
            <v>723.67</v>
          </cell>
          <cell r="E87">
            <v>32.85</v>
          </cell>
          <cell r="F87">
            <v>0</v>
          </cell>
          <cell r="G87">
            <v>32.85</v>
          </cell>
          <cell r="H87">
            <v>756.52</v>
          </cell>
        </row>
        <row r="88">
          <cell r="B88" t="str">
            <v>010-6350-000</v>
          </cell>
          <cell r="C88" t="str">
            <v>EDC Board Parking</v>
          </cell>
          <cell r="D88">
            <v>529.36</v>
          </cell>
          <cell r="E88">
            <v>224.75</v>
          </cell>
          <cell r="F88">
            <v>132.04</v>
          </cell>
          <cell r="G88">
            <v>92.71</v>
          </cell>
          <cell r="H88">
            <v>622.07000000000005</v>
          </cell>
        </row>
        <row r="89">
          <cell r="B89" t="str">
            <v>010-6400-000</v>
          </cell>
          <cell r="C89" t="str">
            <v>Rent</v>
          </cell>
          <cell r="D89">
            <v>182159.68</v>
          </cell>
          <cell r="E89">
            <v>24282</v>
          </cell>
          <cell r="F89">
            <v>1512.04</v>
          </cell>
          <cell r="G89">
            <v>22769.96</v>
          </cell>
          <cell r="H89">
            <v>204929.64</v>
          </cell>
        </row>
        <row r="90">
          <cell r="B90" t="str">
            <v>010-6420-000</v>
          </cell>
          <cell r="C90" t="str">
            <v>Utilities</v>
          </cell>
          <cell r="D90">
            <v>13216.08</v>
          </cell>
          <cell r="E90">
            <v>2228.38</v>
          </cell>
          <cell r="F90">
            <v>0</v>
          </cell>
          <cell r="G90">
            <v>2228.38</v>
          </cell>
          <cell r="H90">
            <v>15444.46</v>
          </cell>
        </row>
        <row r="91">
          <cell r="B91" t="str">
            <v>010-6500-000</v>
          </cell>
          <cell r="C91" t="str">
            <v>Accounting Services</v>
          </cell>
          <cell r="D91">
            <v>1218.0999999999999</v>
          </cell>
          <cell r="E91">
            <v>15600</v>
          </cell>
          <cell r="F91">
            <v>0</v>
          </cell>
          <cell r="G91">
            <v>15600</v>
          </cell>
          <cell r="H91">
            <v>16818.099999999999</v>
          </cell>
        </row>
        <row r="92">
          <cell r="B92" t="str">
            <v>010-6510-000</v>
          </cell>
          <cell r="C92" t="str">
            <v>Legal Services</v>
          </cell>
          <cell r="D92">
            <v>49475.61</v>
          </cell>
          <cell r="E92">
            <v>2784</v>
          </cell>
          <cell r="F92">
            <v>0</v>
          </cell>
          <cell r="G92">
            <v>2784</v>
          </cell>
          <cell r="H92">
            <v>52259.61</v>
          </cell>
        </row>
        <row r="93">
          <cell r="B93" t="str">
            <v>010-6520-000</v>
          </cell>
          <cell r="C93" t="str">
            <v>Recruiting Expenses</v>
          </cell>
          <cell r="D93">
            <v>30609.9</v>
          </cell>
          <cell r="E93">
            <v>0</v>
          </cell>
          <cell r="F93">
            <v>0</v>
          </cell>
          <cell r="G93">
            <v>0</v>
          </cell>
          <cell r="H93">
            <v>30609.9</v>
          </cell>
        </row>
        <row r="94">
          <cell r="B94" t="str">
            <v>010-6530-000</v>
          </cell>
          <cell r="C94" t="str">
            <v>Outside Consultants</v>
          </cell>
          <cell r="D94">
            <v>172296.33</v>
          </cell>
          <cell r="E94">
            <v>17010.830000000002</v>
          </cell>
          <cell r="F94">
            <v>0</v>
          </cell>
          <cell r="G94">
            <v>17010.830000000002</v>
          </cell>
          <cell r="H94">
            <v>189307.16</v>
          </cell>
        </row>
        <row r="95">
          <cell r="B95" t="str">
            <v>010-6600-000</v>
          </cell>
          <cell r="C95" t="str">
            <v>General Insurance</v>
          </cell>
          <cell r="D95">
            <v>18430.169999999998</v>
          </cell>
          <cell r="E95">
            <v>2290.83</v>
          </cell>
          <cell r="F95">
            <v>0</v>
          </cell>
          <cell r="G95">
            <v>2290.83</v>
          </cell>
          <cell r="H95">
            <v>20721</v>
          </cell>
        </row>
        <row r="96">
          <cell r="B96" t="str">
            <v>010-6710-000</v>
          </cell>
          <cell r="C96" t="str">
            <v>Bank Service Charges</v>
          </cell>
          <cell r="D96">
            <v>843.5</v>
          </cell>
          <cell r="E96">
            <v>582.96</v>
          </cell>
          <cell r="F96">
            <v>0</v>
          </cell>
          <cell r="G96">
            <v>582.96</v>
          </cell>
          <cell r="H96">
            <v>1426.46</v>
          </cell>
        </row>
        <row r="97">
          <cell r="B97" t="str">
            <v>010-6810-000</v>
          </cell>
          <cell r="C97" t="str">
            <v>Depr Expense - Computer Hardware</v>
          </cell>
          <cell r="D97">
            <v>4725.0200000000004</v>
          </cell>
          <cell r="E97">
            <v>564.76</v>
          </cell>
          <cell r="F97">
            <v>0</v>
          </cell>
          <cell r="G97">
            <v>564.76</v>
          </cell>
          <cell r="H97">
            <v>5289.78</v>
          </cell>
        </row>
        <row r="98">
          <cell r="B98" t="str">
            <v>010-6820-000</v>
          </cell>
          <cell r="C98" t="str">
            <v>Depr Exp - Computer Software</v>
          </cell>
          <cell r="D98">
            <v>1006.8</v>
          </cell>
          <cell r="E98">
            <v>167.8</v>
          </cell>
          <cell r="F98">
            <v>0</v>
          </cell>
          <cell r="G98">
            <v>167.8</v>
          </cell>
          <cell r="H98">
            <v>1174.5999999999999</v>
          </cell>
        </row>
        <row r="99">
          <cell r="B99" t="str">
            <v>010-6830-000</v>
          </cell>
          <cell r="C99" t="str">
            <v>Depr Exp - Furniture &amp; Fixtures</v>
          </cell>
          <cell r="D99">
            <v>1545.38</v>
          </cell>
          <cell r="E99">
            <v>429.53</v>
          </cell>
          <cell r="F99">
            <v>0</v>
          </cell>
          <cell r="G99">
            <v>429.53</v>
          </cell>
          <cell r="H99">
            <v>1974.91</v>
          </cell>
        </row>
        <row r="100">
          <cell r="B100" t="str">
            <v>010-6840-000</v>
          </cell>
          <cell r="C100" t="str">
            <v>Depr Exp - Leasehold Improvements</v>
          </cell>
          <cell r="D100">
            <v>1516.02</v>
          </cell>
          <cell r="E100">
            <v>205.03</v>
          </cell>
          <cell r="F100">
            <v>0</v>
          </cell>
          <cell r="G100">
            <v>205.03</v>
          </cell>
          <cell r="H100">
            <v>1721.05</v>
          </cell>
        </row>
        <row r="101">
          <cell r="B101" t="str">
            <v>010-8600-000</v>
          </cell>
          <cell r="C101" t="str">
            <v>Capital Outlay-PC Project</v>
          </cell>
          <cell r="D101">
            <v>70000</v>
          </cell>
          <cell r="E101">
            <v>0</v>
          </cell>
          <cell r="F101">
            <v>0</v>
          </cell>
          <cell r="G101">
            <v>0</v>
          </cell>
          <cell r="H101">
            <v>70000</v>
          </cell>
        </row>
        <row r="102">
          <cell r="B102" t="str">
            <v>011-4100-000</v>
          </cell>
          <cell r="C102" t="str">
            <v>Cornerstone Revenue</v>
          </cell>
          <cell r="D102">
            <v>-147362.35999999999</v>
          </cell>
          <cell r="E102">
            <v>0</v>
          </cell>
          <cell r="F102">
            <v>0</v>
          </cell>
          <cell r="G102">
            <v>0</v>
          </cell>
          <cell r="H102">
            <v>-147362.35999999999</v>
          </cell>
        </row>
        <row r="103">
          <cell r="B103" t="str">
            <v>011-5350-000</v>
          </cell>
          <cell r="C103" t="str">
            <v>Cornerstone- - Advertising/Marketing</v>
          </cell>
          <cell r="D103">
            <v>1000</v>
          </cell>
          <cell r="E103">
            <v>0</v>
          </cell>
          <cell r="F103">
            <v>0</v>
          </cell>
          <cell r="G103">
            <v>0</v>
          </cell>
          <cell r="H103">
            <v>1000</v>
          </cell>
        </row>
        <row r="104">
          <cell r="B104" t="str">
            <v>011-6320-000</v>
          </cell>
          <cell r="C104" t="str">
            <v>Cornerstone- - Meeting Expense</v>
          </cell>
          <cell r="D104">
            <v>79.31</v>
          </cell>
          <cell r="E104">
            <v>0</v>
          </cell>
          <cell r="F104">
            <v>0</v>
          </cell>
          <cell r="G104">
            <v>0</v>
          </cell>
          <cell r="H104">
            <v>79.31</v>
          </cell>
        </row>
        <row r="105">
          <cell r="B105" t="str">
            <v>011-7000-000</v>
          </cell>
          <cell r="C105" t="str">
            <v>Cornerstone Expense</v>
          </cell>
          <cell r="D105">
            <v>101202.16</v>
          </cell>
          <cell r="E105">
            <v>0</v>
          </cell>
          <cell r="F105">
            <v>0</v>
          </cell>
          <cell r="G105">
            <v>0</v>
          </cell>
          <cell r="H105">
            <v>101202.16</v>
          </cell>
        </row>
        <row r="106">
          <cell r="B106" t="str">
            <v>020-3000-000</v>
          </cell>
          <cell r="C106" t="str">
            <v>City-General Fund</v>
          </cell>
          <cell r="D106">
            <v>-200000</v>
          </cell>
          <cell r="E106">
            <v>0</v>
          </cell>
          <cell r="F106">
            <v>0</v>
          </cell>
          <cell r="G106">
            <v>0</v>
          </cell>
          <cell r="H106">
            <v>-200000</v>
          </cell>
        </row>
        <row r="107">
          <cell r="B107" t="str">
            <v>020-5010-000</v>
          </cell>
          <cell r="C107" t="str">
            <v>Compensation</v>
          </cell>
          <cell r="D107">
            <v>245925.99</v>
          </cell>
          <cell r="E107">
            <v>34811.449999999997</v>
          </cell>
          <cell r="F107">
            <v>5449.83</v>
          </cell>
          <cell r="G107">
            <v>29361.62</v>
          </cell>
          <cell r="H107">
            <v>275287.61</v>
          </cell>
        </row>
        <row r="108">
          <cell r="B108" t="str">
            <v>020-5120-000</v>
          </cell>
          <cell r="C108" t="str">
            <v>Payroll Taxes-FICA Medicare</v>
          </cell>
          <cell r="D108">
            <v>19847.5</v>
          </cell>
          <cell r="E108">
            <v>2565.9299999999998</v>
          </cell>
          <cell r="F108">
            <v>147.79</v>
          </cell>
          <cell r="G108">
            <v>2418.14</v>
          </cell>
          <cell r="H108">
            <v>22265.64</v>
          </cell>
        </row>
        <row r="109">
          <cell r="B109" t="str">
            <v>020-5200-000</v>
          </cell>
          <cell r="C109" t="str">
            <v>Employee Parking</v>
          </cell>
          <cell r="D109">
            <v>2310</v>
          </cell>
          <cell r="E109">
            <v>660</v>
          </cell>
          <cell r="F109">
            <v>0</v>
          </cell>
          <cell r="G109">
            <v>660</v>
          </cell>
          <cell r="H109">
            <v>2970</v>
          </cell>
        </row>
        <row r="110">
          <cell r="B110" t="str">
            <v>020-5210-000</v>
          </cell>
          <cell r="C110" t="str">
            <v>Medical Insurance</v>
          </cell>
          <cell r="D110">
            <v>17510.04</v>
          </cell>
          <cell r="E110">
            <v>3255.12</v>
          </cell>
          <cell r="F110">
            <v>976.54</v>
          </cell>
          <cell r="G110">
            <v>2278.58</v>
          </cell>
          <cell r="H110">
            <v>19788.62</v>
          </cell>
        </row>
        <row r="111">
          <cell r="B111" t="str">
            <v>020-5220-000</v>
          </cell>
          <cell r="C111" t="str">
            <v>Life Insurance</v>
          </cell>
          <cell r="D111">
            <v>582.20000000000005</v>
          </cell>
          <cell r="E111">
            <v>0</v>
          </cell>
          <cell r="F111">
            <v>0</v>
          </cell>
          <cell r="G111">
            <v>0</v>
          </cell>
          <cell r="H111">
            <v>582.20000000000005</v>
          </cell>
        </row>
        <row r="112">
          <cell r="B112" t="str">
            <v>020-5230-000</v>
          </cell>
          <cell r="C112" t="str">
            <v>Dental Insurance</v>
          </cell>
          <cell r="D112">
            <v>806</v>
          </cell>
          <cell r="E112">
            <v>149.75</v>
          </cell>
          <cell r="F112">
            <v>49</v>
          </cell>
          <cell r="G112">
            <v>100.75</v>
          </cell>
          <cell r="H112">
            <v>906.75</v>
          </cell>
        </row>
        <row r="113">
          <cell r="B113" t="str">
            <v>020-5240-000</v>
          </cell>
          <cell r="C113" t="str">
            <v>Vision Insurance</v>
          </cell>
          <cell r="D113">
            <v>393.2</v>
          </cell>
          <cell r="E113">
            <v>81.650000000000006</v>
          </cell>
          <cell r="F113">
            <v>32.5</v>
          </cell>
          <cell r="G113">
            <v>49.15</v>
          </cell>
          <cell r="H113">
            <v>442.35</v>
          </cell>
        </row>
        <row r="114">
          <cell r="B114" t="str">
            <v>020-5250-000</v>
          </cell>
          <cell r="C114" t="str">
            <v>Disability Insurance</v>
          </cell>
          <cell r="D114">
            <v>2355.81</v>
          </cell>
          <cell r="E114">
            <v>656.23</v>
          </cell>
          <cell r="F114">
            <v>0</v>
          </cell>
          <cell r="G114">
            <v>656.23</v>
          </cell>
          <cell r="H114">
            <v>3012.04</v>
          </cell>
        </row>
        <row r="115">
          <cell r="B115" t="str">
            <v>020-5270-000</v>
          </cell>
          <cell r="C115" t="str">
            <v>401K Contribution</v>
          </cell>
          <cell r="D115">
            <v>19910.810000000001</v>
          </cell>
          <cell r="E115">
            <v>3148.83</v>
          </cell>
          <cell r="F115">
            <v>547.41</v>
          </cell>
          <cell r="G115">
            <v>2601.42</v>
          </cell>
          <cell r="H115">
            <v>22512.23</v>
          </cell>
        </row>
        <row r="116">
          <cell r="B116" t="str">
            <v>020-5300-000</v>
          </cell>
          <cell r="C116" t="str">
            <v>Travel &amp; Entertainment</v>
          </cell>
          <cell r="D116">
            <v>151.54</v>
          </cell>
          <cell r="E116">
            <v>0</v>
          </cell>
          <cell r="F116">
            <v>0</v>
          </cell>
          <cell r="G116">
            <v>0</v>
          </cell>
          <cell r="H116">
            <v>151.54</v>
          </cell>
        </row>
        <row r="117">
          <cell r="B117" t="str">
            <v>020-5310-000</v>
          </cell>
          <cell r="C117" t="str">
            <v>Professional Activities</v>
          </cell>
          <cell r="D117">
            <v>1500</v>
          </cell>
          <cell r="E117">
            <v>0</v>
          </cell>
          <cell r="F117">
            <v>0</v>
          </cell>
          <cell r="G117">
            <v>0</v>
          </cell>
          <cell r="H117">
            <v>1500</v>
          </cell>
        </row>
        <row r="118">
          <cell r="B118" t="str">
            <v>020-5330-000</v>
          </cell>
          <cell r="C118" t="str">
            <v>Membership Dues</v>
          </cell>
          <cell r="D118">
            <v>150</v>
          </cell>
          <cell r="E118">
            <v>0</v>
          </cell>
          <cell r="F118">
            <v>0</v>
          </cell>
          <cell r="G118">
            <v>0</v>
          </cell>
          <cell r="H118">
            <v>150</v>
          </cell>
        </row>
        <row r="119">
          <cell r="B119" t="str">
            <v>020-5331-000</v>
          </cell>
          <cell r="C119" t="str">
            <v>KCADC Membership</v>
          </cell>
          <cell r="D119">
            <v>200000</v>
          </cell>
          <cell r="E119">
            <v>0</v>
          </cell>
          <cell r="F119">
            <v>0</v>
          </cell>
          <cell r="G119">
            <v>0</v>
          </cell>
          <cell r="H119">
            <v>200000</v>
          </cell>
        </row>
        <row r="120">
          <cell r="B120" t="str">
            <v>025-5010-000</v>
          </cell>
          <cell r="C120" t="str">
            <v>Compensation</v>
          </cell>
          <cell r="D120">
            <v>46065.440000000002</v>
          </cell>
          <cell r="E120">
            <v>4368</v>
          </cell>
          <cell r="F120">
            <v>684.48</v>
          </cell>
          <cell r="G120">
            <v>3683.52</v>
          </cell>
          <cell r="H120">
            <v>49748.959999999999</v>
          </cell>
        </row>
        <row r="121">
          <cell r="B121" t="str">
            <v>025-5010-028</v>
          </cell>
          <cell r="C121" t="str">
            <v>Compensation-Contra</v>
          </cell>
          <cell r="D121">
            <v>-19110.330000000002</v>
          </cell>
          <cell r="E121">
            <v>0</v>
          </cell>
          <cell r="F121">
            <v>5865.47</v>
          </cell>
          <cell r="G121">
            <v>-5865.47</v>
          </cell>
          <cell r="H121">
            <v>-24975.8</v>
          </cell>
        </row>
        <row r="122">
          <cell r="B122" t="str">
            <v>025-5120-000</v>
          </cell>
          <cell r="C122" t="str">
            <v>Payroll Taxes-FICA Medicare</v>
          </cell>
          <cell r="D122">
            <v>3660.12</v>
          </cell>
          <cell r="E122">
            <v>281.63</v>
          </cell>
          <cell r="F122">
            <v>46.7</v>
          </cell>
          <cell r="G122">
            <v>234.93</v>
          </cell>
          <cell r="H122">
            <v>3895.05</v>
          </cell>
        </row>
        <row r="123">
          <cell r="B123" t="str">
            <v>025-5200-000</v>
          </cell>
          <cell r="C123" t="str">
            <v>Employee Parking</v>
          </cell>
          <cell r="D123">
            <v>1647.25</v>
          </cell>
          <cell r="E123">
            <v>212.5</v>
          </cell>
          <cell r="F123">
            <v>0</v>
          </cell>
          <cell r="G123">
            <v>212.5</v>
          </cell>
          <cell r="H123">
            <v>1859.75</v>
          </cell>
        </row>
        <row r="124">
          <cell r="B124" t="str">
            <v>025-5210-000</v>
          </cell>
          <cell r="C124" t="str">
            <v>Medical Insurance</v>
          </cell>
          <cell r="D124">
            <v>12849.1</v>
          </cell>
          <cell r="E124">
            <v>1705.06</v>
          </cell>
          <cell r="F124">
            <v>511.52</v>
          </cell>
          <cell r="G124">
            <v>1193.54</v>
          </cell>
          <cell r="H124">
            <v>14042.64</v>
          </cell>
        </row>
        <row r="125">
          <cell r="B125" t="str">
            <v>025-5220-000</v>
          </cell>
          <cell r="C125" t="str">
            <v>Life Insurance</v>
          </cell>
          <cell r="D125">
            <v>369.07</v>
          </cell>
          <cell r="E125">
            <v>0</v>
          </cell>
          <cell r="F125">
            <v>8.51</v>
          </cell>
          <cell r="G125">
            <v>-8.51</v>
          </cell>
          <cell r="H125">
            <v>360.56</v>
          </cell>
        </row>
        <row r="126">
          <cell r="B126" t="str">
            <v>025-5230-000</v>
          </cell>
          <cell r="C126" t="str">
            <v>Dental Insurance</v>
          </cell>
          <cell r="D126">
            <v>987.9</v>
          </cell>
          <cell r="E126">
            <v>135.05000000000001</v>
          </cell>
          <cell r="F126">
            <v>24.5</v>
          </cell>
          <cell r="G126">
            <v>110.55</v>
          </cell>
          <cell r="H126">
            <v>1098.45</v>
          </cell>
        </row>
        <row r="127">
          <cell r="B127" t="str">
            <v>025-5240-000</v>
          </cell>
          <cell r="C127" t="str">
            <v>Vision Insurance</v>
          </cell>
          <cell r="D127">
            <v>236.64</v>
          </cell>
          <cell r="E127">
            <v>33.119999999999997</v>
          </cell>
          <cell r="F127">
            <v>16.260000000000002</v>
          </cell>
          <cell r="G127">
            <v>16.86</v>
          </cell>
          <cell r="H127">
            <v>253.5</v>
          </cell>
        </row>
        <row r="128">
          <cell r="B128" t="str">
            <v>025-5250-000</v>
          </cell>
          <cell r="C128" t="str">
            <v>Disability Insurance</v>
          </cell>
          <cell r="D128">
            <v>761.02</v>
          </cell>
          <cell r="E128">
            <v>94.67</v>
          </cell>
          <cell r="F128">
            <v>3.97</v>
          </cell>
          <cell r="G128">
            <v>90.7</v>
          </cell>
          <cell r="H128">
            <v>851.72</v>
          </cell>
        </row>
        <row r="129">
          <cell r="B129" t="str">
            <v>025-5270-000</v>
          </cell>
          <cell r="C129" t="str">
            <v>401K Contribution</v>
          </cell>
          <cell r="D129">
            <v>3565.72</v>
          </cell>
          <cell r="E129">
            <v>393.38</v>
          </cell>
          <cell r="F129">
            <v>62</v>
          </cell>
          <cell r="G129">
            <v>331.38</v>
          </cell>
          <cell r="H129">
            <v>3897.1</v>
          </cell>
        </row>
        <row r="130">
          <cell r="B130" t="str">
            <v>025-5280-000</v>
          </cell>
          <cell r="C130" t="str">
            <v>Compensation Contra</v>
          </cell>
          <cell r="D130">
            <v>-51031.93</v>
          </cell>
          <cell r="E130">
            <v>0</v>
          </cell>
          <cell r="F130">
            <v>0</v>
          </cell>
          <cell r="G130">
            <v>0</v>
          </cell>
          <cell r="H130">
            <v>-51031.93</v>
          </cell>
        </row>
        <row r="131">
          <cell r="B131" t="str">
            <v>025-5300-000</v>
          </cell>
          <cell r="C131" t="str">
            <v>Travel &amp; Entertainment</v>
          </cell>
          <cell r="D131">
            <v>159</v>
          </cell>
          <cell r="E131">
            <v>0</v>
          </cell>
          <cell r="F131">
            <v>0</v>
          </cell>
          <cell r="G131">
            <v>0</v>
          </cell>
          <cell r="H131">
            <v>159</v>
          </cell>
        </row>
        <row r="132">
          <cell r="B132" t="str">
            <v>025-5300-028</v>
          </cell>
          <cell r="C132" t="str">
            <v>Travel &amp; Entertainment-Contra</v>
          </cell>
          <cell r="D132">
            <v>-159</v>
          </cell>
          <cell r="E132">
            <v>0</v>
          </cell>
          <cell r="F132">
            <v>0</v>
          </cell>
          <cell r="G132">
            <v>0</v>
          </cell>
          <cell r="H132">
            <v>-159</v>
          </cell>
        </row>
        <row r="133">
          <cell r="B133" t="str">
            <v>025-5320-000</v>
          </cell>
          <cell r="C133" t="str">
            <v>Continuing Education</v>
          </cell>
          <cell r="D133">
            <v>1438.4</v>
          </cell>
          <cell r="E133">
            <v>0</v>
          </cell>
          <cell r="F133">
            <v>0</v>
          </cell>
          <cell r="G133">
            <v>0</v>
          </cell>
          <cell r="H133">
            <v>1438.4</v>
          </cell>
        </row>
        <row r="134">
          <cell r="B134" t="str">
            <v>025-5320-028</v>
          </cell>
          <cell r="C134" t="str">
            <v>Continuing Education-Contra</v>
          </cell>
          <cell r="D134">
            <v>-1438.4</v>
          </cell>
          <cell r="E134">
            <v>0</v>
          </cell>
          <cell r="F134">
            <v>0</v>
          </cell>
          <cell r="G134">
            <v>0</v>
          </cell>
          <cell r="H134">
            <v>-1438.4</v>
          </cell>
        </row>
        <row r="135">
          <cell r="B135" t="str">
            <v>025-5352-000</v>
          </cell>
          <cell r="C135" t="str">
            <v>Contribution to EDC Loan</v>
          </cell>
          <cell r="D135">
            <v>60000</v>
          </cell>
          <cell r="E135">
            <v>7500</v>
          </cell>
          <cell r="F135">
            <v>0</v>
          </cell>
          <cell r="G135">
            <v>7500</v>
          </cell>
          <cell r="H135">
            <v>67500</v>
          </cell>
        </row>
        <row r="136">
          <cell r="B136" t="str">
            <v>025-6010-000</v>
          </cell>
          <cell r="C136" t="str">
            <v>Loan Corp- - Office Supplies &amp; Expense</v>
          </cell>
          <cell r="D136">
            <v>118.82</v>
          </cell>
          <cell r="E136">
            <v>0</v>
          </cell>
          <cell r="F136">
            <v>0</v>
          </cell>
          <cell r="G136">
            <v>0</v>
          </cell>
          <cell r="H136">
            <v>118.82</v>
          </cell>
        </row>
        <row r="137">
          <cell r="B137" t="str">
            <v>025-6010-028</v>
          </cell>
          <cell r="C137" t="str">
            <v>Office Supplies-Contra</v>
          </cell>
          <cell r="D137">
            <v>-118.82</v>
          </cell>
          <cell r="E137">
            <v>0</v>
          </cell>
          <cell r="F137">
            <v>0</v>
          </cell>
          <cell r="G137">
            <v>0</v>
          </cell>
          <cell r="H137">
            <v>-118.82</v>
          </cell>
        </row>
        <row r="138">
          <cell r="B138" t="str">
            <v>025-6020-000</v>
          </cell>
          <cell r="C138" t="str">
            <v>Temporary Services</v>
          </cell>
          <cell r="D138">
            <v>40888.86</v>
          </cell>
          <cell r="E138">
            <v>0</v>
          </cell>
          <cell r="F138">
            <v>0</v>
          </cell>
          <cell r="G138">
            <v>0</v>
          </cell>
          <cell r="H138">
            <v>40888.86</v>
          </cell>
        </row>
        <row r="139">
          <cell r="B139" t="str">
            <v>025-6020-028</v>
          </cell>
          <cell r="C139" t="str">
            <v>Temporary Services-Contra</v>
          </cell>
          <cell r="D139">
            <v>-40888.86</v>
          </cell>
          <cell r="E139">
            <v>0</v>
          </cell>
          <cell r="F139">
            <v>0</v>
          </cell>
          <cell r="G139">
            <v>0</v>
          </cell>
          <cell r="H139">
            <v>-40888.86</v>
          </cell>
        </row>
        <row r="140">
          <cell r="B140" t="str">
            <v>025-6320-000</v>
          </cell>
          <cell r="C140" t="str">
            <v>Loan Corp- - Office Meeting Expenses</v>
          </cell>
          <cell r="D140">
            <v>49.75</v>
          </cell>
          <cell r="E140">
            <v>100.48</v>
          </cell>
          <cell r="F140">
            <v>0</v>
          </cell>
          <cell r="G140">
            <v>100.48</v>
          </cell>
          <cell r="H140">
            <v>150.22999999999999</v>
          </cell>
        </row>
        <row r="141">
          <cell r="B141" t="str">
            <v>025-6320-028</v>
          </cell>
          <cell r="C141" t="str">
            <v>Meetings-Contra Account</v>
          </cell>
          <cell r="D141">
            <v>-49.75</v>
          </cell>
          <cell r="E141">
            <v>0</v>
          </cell>
          <cell r="F141">
            <v>100.48</v>
          </cell>
          <cell r="G141">
            <v>-100.48</v>
          </cell>
          <cell r="H141">
            <v>-150.22999999999999</v>
          </cell>
        </row>
        <row r="142">
          <cell r="B142" t="str">
            <v>025-6350-000</v>
          </cell>
          <cell r="C142" t="str">
            <v>Loan Corp- - Board Parking</v>
          </cell>
          <cell r="D142">
            <v>15.25</v>
          </cell>
          <cell r="E142">
            <v>0</v>
          </cell>
          <cell r="F142">
            <v>0</v>
          </cell>
          <cell r="G142">
            <v>0</v>
          </cell>
          <cell r="H142">
            <v>15.25</v>
          </cell>
        </row>
        <row r="143">
          <cell r="B143" t="str">
            <v>025-6350-028</v>
          </cell>
          <cell r="C143" t="str">
            <v>Board Parking-Contra</v>
          </cell>
          <cell r="D143">
            <v>-15.25</v>
          </cell>
          <cell r="E143">
            <v>0</v>
          </cell>
          <cell r="F143">
            <v>0</v>
          </cell>
          <cell r="G143">
            <v>0</v>
          </cell>
          <cell r="H143">
            <v>-15.25</v>
          </cell>
        </row>
        <row r="144">
          <cell r="B144" t="str">
            <v>025-6512-000</v>
          </cell>
          <cell r="C144" t="str">
            <v>Settlement Expense</v>
          </cell>
          <cell r="D144">
            <v>13000</v>
          </cell>
          <cell r="E144">
            <v>0</v>
          </cell>
          <cell r="F144">
            <v>0</v>
          </cell>
          <cell r="G144">
            <v>0</v>
          </cell>
          <cell r="H144">
            <v>13000</v>
          </cell>
        </row>
        <row r="145">
          <cell r="B145" t="str">
            <v>025-6512-028</v>
          </cell>
          <cell r="C145" t="str">
            <v>Settlement Expenses-Contra</v>
          </cell>
          <cell r="D145">
            <v>-13000</v>
          </cell>
          <cell r="E145">
            <v>0</v>
          </cell>
          <cell r="F145">
            <v>0</v>
          </cell>
          <cell r="G145">
            <v>0</v>
          </cell>
          <cell r="H145">
            <v>-13000</v>
          </cell>
        </row>
        <row r="146">
          <cell r="B146" t="str">
            <v>025-6520-000</v>
          </cell>
          <cell r="C146" t="str">
            <v>Recruiting Expenses</v>
          </cell>
          <cell r="D146">
            <v>3151.13</v>
          </cell>
          <cell r="E146">
            <v>0</v>
          </cell>
          <cell r="F146">
            <v>0</v>
          </cell>
          <cell r="G146">
            <v>0</v>
          </cell>
          <cell r="H146">
            <v>3151.13</v>
          </cell>
        </row>
        <row r="147">
          <cell r="B147" t="str">
            <v>025-6520-028</v>
          </cell>
          <cell r="C147" t="str">
            <v>Recruiting Expense-Contra</v>
          </cell>
          <cell r="D147">
            <v>-3151.13</v>
          </cell>
          <cell r="E147">
            <v>0</v>
          </cell>
          <cell r="F147">
            <v>0</v>
          </cell>
          <cell r="G147">
            <v>0</v>
          </cell>
          <cell r="H147">
            <v>-3151.13</v>
          </cell>
        </row>
        <row r="148">
          <cell r="B148" t="str">
            <v>035-4020-000</v>
          </cell>
          <cell r="C148" t="str">
            <v>BD Revenues</v>
          </cell>
          <cell r="D148">
            <v>-224493.98</v>
          </cell>
          <cell r="E148">
            <v>8360</v>
          </cell>
          <cell r="F148">
            <v>3873.75</v>
          </cell>
          <cell r="G148">
            <v>4486.25</v>
          </cell>
          <cell r="H148">
            <v>-220007.73</v>
          </cell>
        </row>
        <row r="149">
          <cell r="B149" t="str">
            <v>035-4350-000</v>
          </cell>
          <cell r="C149" t="str">
            <v>Business Seminar Revenue</v>
          </cell>
          <cell r="D149">
            <v>0</v>
          </cell>
          <cell r="E149">
            <v>0</v>
          </cell>
          <cell r="F149">
            <v>2195</v>
          </cell>
          <cell r="G149">
            <v>-2195</v>
          </cell>
          <cell r="H149">
            <v>-2195</v>
          </cell>
        </row>
        <row r="150">
          <cell r="B150" t="str">
            <v>035-5010-000</v>
          </cell>
          <cell r="C150" t="str">
            <v>Compensation</v>
          </cell>
          <cell r="D150">
            <v>433856.87</v>
          </cell>
          <cell r="E150">
            <v>67033.08</v>
          </cell>
          <cell r="F150">
            <v>10736.92</v>
          </cell>
          <cell r="G150">
            <v>56296.160000000003</v>
          </cell>
          <cell r="H150">
            <v>490153.03</v>
          </cell>
        </row>
        <row r="151">
          <cell r="B151" t="str">
            <v>TRIAL BALANCE SUMMARY FOR 2016</v>
          </cell>
          <cell r="C151">
            <v>42412</v>
          </cell>
          <cell r="D151">
            <v>0.56245370370370373</v>
          </cell>
          <cell r="E151" t="str">
            <v>Page:</v>
          </cell>
          <cell r="F151">
            <v>3</v>
          </cell>
          <cell r="G151" t="str">
            <v>User Date:</v>
          </cell>
          <cell r="H151">
            <v>42411</v>
          </cell>
        </row>
        <row r="153">
          <cell r="B153" t="str">
            <v>Account</v>
          </cell>
          <cell r="C153" t="str">
            <v>Description</v>
          </cell>
          <cell r="D153" t="str">
            <v>Beginning Balance</v>
          </cell>
          <cell r="E153" t="str">
            <v>Credit</v>
          </cell>
          <cell r="F153" t="str">
            <v>Net Change</v>
          </cell>
          <cell r="G153" t="str">
            <v>Ending Balance</v>
          </cell>
          <cell r="H153" t="str">
            <v>Debit</v>
          </cell>
        </row>
        <row r="154">
          <cell r="B154" t="str">
            <v>035-5120-000</v>
          </cell>
          <cell r="C154" t="str">
            <v>Payroll Taxes-FICA Medicare</v>
          </cell>
          <cell r="D154">
            <v>33515.15</v>
          </cell>
          <cell r="E154">
            <v>4854.95</v>
          </cell>
          <cell r="F154">
            <v>819.68</v>
          </cell>
          <cell r="G154">
            <v>4035.27</v>
          </cell>
          <cell r="H154">
            <v>37550.42</v>
          </cell>
        </row>
        <row r="155">
          <cell r="B155" t="str">
            <v>035-5200-000</v>
          </cell>
          <cell r="C155" t="str">
            <v>Employee Parking</v>
          </cell>
          <cell r="D155">
            <v>7097.5</v>
          </cell>
          <cell r="E155">
            <v>2040</v>
          </cell>
          <cell r="F155">
            <v>0</v>
          </cell>
          <cell r="G155">
            <v>2040</v>
          </cell>
          <cell r="H155">
            <v>9137.5</v>
          </cell>
        </row>
        <row r="156">
          <cell r="B156" t="str">
            <v>035-5210-000</v>
          </cell>
          <cell r="C156" t="str">
            <v>Medical Insurance</v>
          </cell>
          <cell r="D156">
            <v>43526.82</v>
          </cell>
          <cell r="E156">
            <v>8447.67</v>
          </cell>
          <cell r="F156">
            <v>2455.3000000000002</v>
          </cell>
          <cell r="G156">
            <v>5992.37</v>
          </cell>
          <cell r="H156">
            <v>49519.19</v>
          </cell>
        </row>
        <row r="157">
          <cell r="B157" t="str">
            <v>035-5220-000</v>
          </cell>
          <cell r="C157" t="str">
            <v>Life Insurance</v>
          </cell>
          <cell r="D157">
            <v>2194.1</v>
          </cell>
          <cell r="E157">
            <v>0</v>
          </cell>
          <cell r="F157">
            <v>5.67</v>
          </cell>
          <cell r="G157">
            <v>-5.67</v>
          </cell>
          <cell r="H157">
            <v>2188.4299999999998</v>
          </cell>
        </row>
        <row r="158">
          <cell r="B158" t="str">
            <v>035-5230-000</v>
          </cell>
          <cell r="C158" t="str">
            <v>Dental Insurance</v>
          </cell>
          <cell r="D158">
            <v>3022.4</v>
          </cell>
          <cell r="E158">
            <v>538.25</v>
          </cell>
          <cell r="F158">
            <v>123.2</v>
          </cell>
          <cell r="G158">
            <v>415.05</v>
          </cell>
          <cell r="H158">
            <v>3437.45</v>
          </cell>
        </row>
        <row r="159">
          <cell r="B159" t="str">
            <v>035-5240-000</v>
          </cell>
          <cell r="C159" t="str">
            <v>Vision Insurance</v>
          </cell>
          <cell r="D159">
            <v>1223.53</v>
          </cell>
          <cell r="E159">
            <v>227.24</v>
          </cell>
          <cell r="F159">
            <v>81.290000000000006</v>
          </cell>
          <cell r="G159">
            <v>145.94999999999999</v>
          </cell>
          <cell r="H159">
            <v>1369.48</v>
          </cell>
        </row>
        <row r="160">
          <cell r="B160" t="str">
            <v>035-5250-000</v>
          </cell>
          <cell r="C160" t="str">
            <v>Disability Insurance</v>
          </cell>
          <cell r="D160">
            <v>5148.42</v>
          </cell>
          <cell r="E160">
            <v>1352.62</v>
          </cell>
          <cell r="F160">
            <v>0</v>
          </cell>
          <cell r="G160">
            <v>1352.62</v>
          </cell>
          <cell r="H160">
            <v>6501.04</v>
          </cell>
        </row>
        <row r="161">
          <cell r="B161" t="str">
            <v>035-5270-000</v>
          </cell>
          <cell r="C161" t="str">
            <v>401K Contribution</v>
          </cell>
          <cell r="D161">
            <v>32411.56</v>
          </cell>
          <cell r="E161">
            <v>5302.91</v>
          </cell>
          <cell r="F161">
            <v>875.73</v>
          </cell>
          <cell r="G161">
            <v>4427.18</v>
          </cell>
          <cell r="H161">
            <v>36838.74</v>
          </cell>
        </row>
        <row r="162">
          <cell r="B162" t="str">
            <v>035-5300-000</v>
          </cell>
          <cell r="C162" t="str">
            <v>Travel &amp; Entertainment</v>
          </cell>
          <cell r="D162">
            <v>17780.68</v>
          </cell>
          <cell r="E162">
            <v>2203.5700000000002</v>
          </cell>
          <cell r="F162">
            <v>0</v>
          </cell>
          <cell r="G162">
            <v>2203.5700000000002</v>
          </cell>
          <cell r="H162">
            <v>19984.25</v>
          </cell>
        </row>
        <row r="163">
          <cell r="B163" t="str">
            <v>035-5310-000</v>
          </cell>
          <cell r="C163" t="str">
            <v>Professional Activities</v>
          </cell>
          <cell r="D163">
            <v>5658.1</v>
          </cell>
          <cell r="E163">
            <v>1859</v>
          </cell>
          <cell r="F163">
            <v>0</v>
          </cell>
          <cell r="G163">
            <v>1859</v>
          </cell>
          <cell r="H163">
            <v>7517.1</v>
          </cell>
        </row>
        <row r="164">
          <cell r="B164" t="str">
            <v>035-5320-000</v>
          </cell>
          <cell r="C164" t="str">
            <v>Continuing Education</v>
          </cell>
          <cell r="D164">
            <v>6837</v>
          </cell>
          <cell r="E164">
            <v>794</v>
          </cell>
          <cell r="F164">
            <v>0</v>
          </cell>
          <cell r="G164">
            <v>794</v>
          </cell>
          <cell r="H164">
            <v>7631</v>
          </cell>
        </row>
        <row r="165">
          <cell r="B165" t="str">
            <v>035-5330-000</v>
          </cell>
          <cell r="C165" t="str">
            <v>Membership Dues</v>
          </cell>
          <cell r="D165">
            <v>4021.67</v>
          </cell>
          <cell r="E165">
            <v>8435</v>
          </cell>
          <cell r="F165">
            <v>0</v>
          </cell>
          <cell r="G165">
            <v>8435</v>
          </cell>
          <cell r="H165">
            <v>12456.67</v>
          </cell>
        </row>
        <row r="166">
          <cell r="B166" t="str">
            <v>035-5340-000</v>
          </cell>
          <cell r="C166" t="str">
            <v>Subscriptions</v>
          </cell>
          <cell r="D166">
            <v>4064</v>
          </cell>
          <cell r="E166">
            <v>0</v>
          </cell>
          <cell r="F166">
            <v>0</v>
          </cell>
          <cell r="G166">
            <v>0</v>
          </cell>
          <cell r="H166">
            <v>4064</v>
          </cell>
        </row>
        <row r="167">
          <cell r="B167" t="str">
            <v>035-5345-000</v>
          </cell>
          <cell r="C167" t="str">
            <v>Business Development Surveys</v>
          </cell>
          <cell r="D167">
            <v>138.75</v>
          </cell>
          <cell r="E167">
            <v>0</v>
          </cell>
          <cell r="F167">
            <v>0</v>
          </cell>
          <cell r="G167">
            <v>0</v>
          </cell>
          <cell r="H167">
            <v>138.75</v>
          </cell>
        </row>
        <row r="168">
          <cell r="B168" t="str">
            <v>035-5350-000</v>
          </cell>
          <cell r="C168" t="str">
            <v>Advertising/Marketing</v>
          </cell>
          <cell r="D168">
            <v>2197</v>
          </cell>
          <cell r="E168">
            <v>0</v>
          </cell>
          <cell r="F168">
            <v>0</v>
          </cell>
          <cell r="G168">
            <v>0</v>
          </cell>
          <cell r="H168">
            <v>2197</v>
          </cell>
        </row>
        <row r="169">
          <cell r="B169" t="str">
            <v>035-5351-000</v>
          </cell>
          <cell r="C169" t="str">
            <v>Business Development-Launch KC Advertising Market</v>
          </cell>
          <cell r="D169">
            <v>-500</v>
          </cell>
          <cell r="E169">
            <v>500</v>
          </cell>
          <cell r="F169">
            <v>0</v>
          </cell>
          <cell r="G169">
            <v>500</v>
          </cell>
          <cell r="H169">
            <v>0</v>
          </cell>
        </row>
        <row r="170">
          <cell r="B170" t="str">
            <v>035-6010-000</v>
          </cell>
          <cell r="C170" t="str">
            <v>Office Supplies</v>
          </cell>
          <cell r="D170">
            <v>1600.71</v>
          </cell>
          <cell r="E170">
            <v>0</v>
          </cell>
          <cell r="F170">
            <v>0</v>
          </cell>
          <cell r="G170">
            <v>0</v>
          </cell>
          <cell r="H170">
            <v>1600.71</v>
          </cell>
        </row>
        <row r="171">
          <cell r="B171" t="str">
            <v>035-6025-000</v>
          </cell>
          <cell r="C171" t="str">
            <v>Business Development- - Computer Equip &amp; Software</v>
          </cell>
          <cell r="D171">
            <v>395</v>
          </cell>
          <cell r="E171">
            <v>0</v>
          </cell>
          <cell r="F171">
            <v>0</v>
          </cell>
          <cell r="G171">
            <v>0</v>
          </cell>
          <cell r="H171">
            <v>395</v>
          </cell>
        </row>
        <row r="172">
          <cell r="B172" t="str">
            <v>035-6040-000</v>
          </cell>
          <cell r="C172" t="str">
            <v>Contirbutions and Sponsorships</v>
          </cell>
          <cell r="D172">
            <v>21800</v>
          </cell>
          <cell r="E172">
            <v>2000</v>
          </cell>
          <cell r="F172">
            <v>0</v>
          </cell>
          <cell r="G172">
            <v>2000</v>
          </cell>
          <cell r="H172">
            <v>23800</v>
          </cell>
        </row>
        <row r="173">
          <cell r="B173" t="str">
            <v>035-6320-000</v>
          </cell>
          <cell r="C173" t="str">
            <v>Office Meeting exp</v>
          </cell>
          <cell r="D173">
            <v>275</v>
          </cell>
          <cell r="E173">
            <v>157.63</v>
          </cell>
          <cell r="F173">
            <v>0</v>
          </cell>
          <cell r="G173">
            <v>157.63</v>
          </cell>
          <cell r="H173">
            <v>432.63</v>
          </cell>
        </row>
        <row r="174">
          <cell r="B174" t="str">
            <v>035-6510-000</v>
          </cell>
          <cell r="C174" t="str">
            <v>Legal Fees</v>
          </cell>
          <cell r="D174">
            <v>16834.7</v>
          </cell>
          <cell r="E174">
            <v>0</v>
          </cell>
          <cell r="F174">
            <v>0</v>
          </cell>
          <cell r="G174">
            <v>0</v>
          </cell>
          <cell r="H174">
            <v>16834.7</v>
          </cell>
        </row>
        <row r="175">
          <cell r="B175" t="str">
            <v>035-6530-000</v>
          </cell>
          <cell r="C175" t="str">
            <v>Outside Consultants</v>
          </cell>
          <cell r="D175">
            <v>210965.71</v>
          </cell>
          <cell r="E175">
            <v>9364.75</v>
          </cell>
          <cell r="F175">
            <v>8360</v>
          </cell>
          <cell r="G175">
            <v>1004.75</v>
          </cell>
          <cell r="H175">
            <v>211970.46</v>
          </cell>
        </row>
        <row r="176">
          <cell r="B176" t="str">
            <v>035-8530-000</v>
          </cell>
          <cell r="C176" t="str">
            <v>Business Seminar Expenses</v>
          </cell>
          <cell r="D176">
            <v>0</v>
          </cell>
          <cell r="E176">
            <v>2000</v>
          </cell>
          <cell r="F176">
            <v>0</v>
          </cell>
          <cell r="G176">
            <v>2000</v>
          </cell>
          <cell r="H176">
            <v>2000</v>
          </cell>
        </row>
        <row r="177">
          <cell r="B177" t="str">
            <v>036-3000-000</v>
          </cell>
          <cell r="C177" t="str">
            <v>City-General Fund</v>
          </cell>
          <cell r="D177">
            <v>-120000</v>
          </cell>
          <cell r="E177">
            <v>0</v>
          </cell>
          <cell r="F177">
            <v>0</v>
          </cell>
          <cell r="G177">
            <v>0</v>
          </cell>
          <cell r="H177">
            <v>-120000</v>
          </cell>
        </row>
        <row r="178">
          <cell r="B178" t="str">
            <v>036-5010-000</v>
          </cell>
          <cell r="C178" t="str">
            <v>Compensation</v>
          </cell>
          <cell r="D178">
            <v>53846.1</v>
          </cell>
          <cell r="E178">
            <v>7692.3</v>
          </cell>
          <cell r="F178">
            <v>1230.77</v>
          </cell>
          <cell r="G178">
            <v>6461.53</v>
          </cell>
          <cell r="H178">
            <v>60307.63</v>
          </cell>
        </row>
        <row r="179">
          <cell r="B179" t="str">
            <v>036-5120-000</v>
          </cell>
          <cell r="C179" t="str">
            <v>Payroll Taxes-FICA Medicare</v>
          </cell>
          <cell r="D179">
            <v>3998.35</v>
          </cell>
          <cell r="E179">
            <v>571.58000000000004</v>
          </cell>
          <cell r="F179">
            <v>88.14</v>
          </cell>
          <cell r="G179">
            <v>483.44</v>
          </cell>
          <cell r="H179">
            <v>4481.79</v>
          </cell>
        </row>
        <row r="180">
          <cell r="B180" t="str">
            <v>036-5200-000</v>
          </cell>
          <cell r="C180" t="str">
            <v>Employee Parking</v>
          </cell>
          <cell r="D180">
            <v>807.5</v>
          </cell>
          <cell r="E180">
            <v>340</v>
          </cell>
          <cell r="F180">
            <v>0</v>
          </cell>
          <cell r="G180">
            <v>340</v>
          </cell>
          <cell r="H180">
            <v>1147.5</v>
          </cell>
        </row>
        <row r="181">
          <cell r="B181" t="str">
            <v>036-5210-000</v>
          </cell>
          <cell r="C181" t="str">
            <v>Medical Insurance</v>
          </cell>
          <cell r="D181">
            <v>3443.22</v>
          </cell>
          <cell r="E181">
            <v>589.02</v>
          </cell>
          <cell r="F181">
            <v>176.7</v>
          </cell>
          <cell r="G181">
            <v>412.32</v>
          </cell>
          <cell r="H181">
            <v>3855.54</v>
          </cell>
        </row>
        <row r="182">
          <cell r="B182" t="str">
            <v>036-5220-000</v>
          </cell>
          <cell r="C182" t="str">
            <v>Life Insurance</v>
          </cell>
          <cell r="D182">
            <v>192</v>
          </cell>
          <cell r="E182">
            <v>0</v>
          </cell>
          <cell r="F182">
            <v>0</v>
          </cell>
          <cell r="G182">
            <v>0</v>
          </cell>
          <cell r="H182">
            <v>192</v>
          </cell>
        </row>
        <row r="183">
          <cell r="B183" t="str">
            <v>036-5230-000</v>
          </cell>
          <cell r="C183" t="str">
            <v>Dental Insurance</v>
          </cell>
          <cell r="D183">
            <v>149.75</v>
          </cell>
          <cell r="E183">
            <v>29.95</v>
          </cell>
          <cell r="F183">
            <v>0</v>
          </cell>
          <cell r="G183">
            <v>29.95</v>
          </cell>
          <cell r="H183">
            <v>179.7</v>
          </cell>
        </row>
        <row r="184">
          <cell r="B184" t="str">
            <v>036-5240-000</v>
          </cell>
          <cell r="C184" t="str">
            <v>Vision Insurance</v>
          </cell>
          <cell r="D184">
            <v>92.46</v>
          </cell>
          <cell r="E184">
            <v>15.41</v>
          </cell>
          <cell r="F184">
            <v>0</v>
          </cell>
          <cell r="G184">
            <v>15.41</v>
          </cell>
          <cell r="H184">
            <v>107.87</v>
          </cell>
        </row>
        <row r="185">
          <cell r="B185" t="str">
            <v>036-5250-000</v>
          </cell>
          <cell r="C185" t="str">
            <v>Disability Insurance</v>
          </cell>
          <cell r="D185">
            <v>521.32000000000005</v>
          </cell>
          <cell r="E185">
            <v>172.66</v>
          </cell>
          <cell r="F185">
            <v>0</v>
          </cell>
          <cell r="G185">
            <v>172.66</v>
          </cell>
          <cell r="H185">
            <v>693.98</v>
          </cell>
        </row>
        <row r="186">
          <cell r="B186" t="str">
            <v>036-5270-000</v>
          </cell>
          <cell r="C186" t="str">
            <v>401K Contribution</v>
          </cell>
          <cell r="D186">
            <v>5290.51</v>
          </cell>
          <cell r="E186">
            <v>694.35</v>
          </cell>
          <cell r="F186">
            <v>121.7</v>
          </cell>
          <cell r="G186">
            <v>572.65</v>
          </cell>
          <cell r="H186">
            <v>5863.16</v>
          </cell>
        </row>
        <row r="187">
          <cell r="B187" t="str">
            <v>036-5300-000</v>
          </cell>
          <cell r="C187" t="str">
            <v>Travel &amp; Entertainment</v>
          </cell>
          <cell r="D187">
            <v>12416.24</v>
          </cell>
          <cell r="E187">
            <v>3466.77</v>
          </cell>
          <cell r="F187">
            <v>138.44</v>
          </cell>
          <cell r="G187">
            <v>3328.33</v>
          </cell>
          <cell r="H187">
            <v>15744.57</v>
          </cell>
        </row>
        <row r="188">
          <cell r="B188" t="str">
            <v>036-5310-000</v>
          </cell>
          <cell r="C188" t="str">
            <v>Professional Activities</v>
          </cell>
          <cell r="D188">
            <v>609</v>
          </cell>
          <cell r="E188">
            <v>0</v>
          </cell>
          <cell r="F188">
            <v>0</v>
          </cell>
          <cell r="G188">
            <v>0</v>
          </cell>
          <cell r="H188">
            <v>609</v>
          </cell>
        </row>
        <row r="189">
          <cell r="B189" t="str">
            <v>036-5320-000</v>
          </cell>
          <cell r="C189" t="str">
            <v>Continuing Education</v>
          </cell>
          <cell r="D189">
            <v>699</v>
          </cell>
          <cell r="E189">
            <v>0</v>
          </cell>
          <cell r="F189">
            <v>0</v>
          </cell>
          <cell r="G189">
            <v>0</v>
          </cell>
          <cell r="H189">
            <v>699</v>
          </cell>
        </row>
        <row r="190">
          <cell r="B190" t="str">
            <v>036-5330-000</v>
          </cell>
          <cell r="C190" t="str">
            <v>Membership Dues</v>
          </cell>
          <cell r="D190">
            <v>175</v>
          </cell>
          <cell r="E190">
            <v>35</v>
          </cell>
          <cell r="F190">
            <v>0</v>
          </cell>
          <cell r="G190">
            <v>35</v>
          </cell>
          <cell r="H190">
            <v>210</v>
          </cell>
        </row>
        <row r="191">
          <cell r="B191" t="str">
            <v>036-5350-000</v>
          </cell>
          <cell r="C191" t="str">
            <v>Advertising/Marketing</v>
          </cell>
          <cell r="D191">
            <v>1971</v>
          </cell>
          <cell r="E191">
            <v>0</v>
          </cell>
          <cell r="F191">
            <v>0</v>
          </cell>
          <cell r="G191">
            <v>0</v>
          </cell>
          <cell r="H191">
            <v>1971</v>
          </cell>
        </row>
        <row r="192">
          <cell r="B192" t="str">
            <v>036-6010-000</v>
          </cell>
          <cell r="C192" t="str">
            <v>Office Supplies</v>
          </cell>
          <cell r="D192">
            <v>230.35</v>
          </cell>
          <cell r="E192">
            <v>189.94</v>
          </cell>
          <cell r="F192">
            <v>0</v>
          </cell>
          <cell r="G192">
            <v>189.94</v>
          </cell>
          <cell r="H192">
            <v>420.29</v>
          </cell>
        </row>
        <row r="193">
          <cell r="B193" t="str">
            <v>036-6020-000</v>
          </cell>
          <cell r="C193" t="str">
            <v>Temporary Service</v>
          </cell>
          <cell r="D193">
            <v>17377.5</v>
          </cell>
          <cell r="E193">
            <v>2310</v>
          </cell>
          <cell r="F193">
            <v>510</v>
          </cell>
          <cell r="G193">
            <v>1800</v>
          </cell>
          <cell r="H193">
            <v>19177.5</v>
          </cell>
        </row>
        <row r="194">
          <cell r="B194" t="str">
            <v>036-6025-000</v>
          </cell>
          <cell r="C194" t="str">
            <v>Computer Equipment &amp; Software</v>
          </cell>
          <cell r="D194">
            <v>327.55</v>
          </cell>
          <cell r="E194">
            <v>0</v>
          </cell>
          <cell r="F194">
            <v>0</v>
          </cell>
          <cell r="G194">
            <v>0</v>
          </cell>
          <cell r="H194">
            <v>327.55</v>
          </cell>
        </row>
        <row r="195">
          <cell r="B195" t="str">
            <v>036-6220-000</v>
          </cell>
          <cell r="C195" t="str">
            <v>Cellular Telephone Service</v>
          </cell>
          <cell r="D195">
            <v>779.67</v>
          </cell>
          <cell r="E195">
            <v>144.27000000000001</v>
          </cell>
          <cell r="F195">
            <v>0</v>
          </cell>
          <cell r="G195">
            <v>144.27000000000001</v>
          </cell>
          <cell r="H195">
            <v>923.94</v>
          </cell>
        </row>
        <row r="196">
          <cell r="B196" t="str">
            <v>036-6320-000</v>
          </cell>
          <cell r="C196" t="str">
            <v>Office Meeting exp</v>
          </cell>
          <cell r="D196">
            <v>39.53</v>
          </cell>
          <cell r="E196">
            <v>0</v>
          </cell>
          <cell r="F196">
            <v>0</v>
          </cell>
          <cell r="G196">
            <v>0</v>
          </cell>
          <cell r="H196">
            <v>39.53</v>
          </cell>
        </row>
        <row r="197">
          <cell r="B197" t="str">
            <v>036-6340-000</v>
          </cell>
          <cell r="C197" t="str">
            <v>Messenger Services</v>
          </cell>
          <cell r="D197">
            <v>192.26</v>
          </cell>
          <cell r="E197">
            <v>0</v>
          </cell>
          <cell r="F197">
            <v>0</v>
          </cell>
          <cell r="G197">
            <v>0</v>
          </cell>
          <cell r="H197">
            <v>192.26</v>
          </cell>
        </row>
        <row r="198">
          <cell r="B198" t="str">
            <v>036-6525-000</v>
          </cell>
          <cell r="C198" t="str">
            <v>Relocation Expenses</v>
          </cell>
          <cell r="D198">
            <v>5311</v>
          </cell>
          <cell r="E198">
            <v>0</v>
          </cell>
          <cell r="F198">
            <v>0</v>
          </cell>
          <cell r="G198">
            <v>0</v>
          </cell>
          <cell r="H198">
            <v>5311</v>
          </cell>
        </row>
        <row r="199">
          <cell r="B199" t="str">
            <v>036-8530-000</v>
          </cell>
          <cell r="C199" t="str">
            <v>Business Seminar Expenses</v>
          </cell>
          <cell r="D199">
            <v>0</v>
          </cell>
          <cell r="E199">
            <v>343</v>
          </cell>
          <cell r="F199">
            <v>0</v>
          </cell>
          <cell r="G199">
            <v>343</v>
          </cell>
          <cell r="H199">
            <v>343</v>
          </cell>
        </row>
        <row r="200">
          <cell r="B200" t="str">
            <v>037-4024-000</v>
          </cell>
          <cell r="C200" t="str">
            <v>Launch KC- Grant</v>
          </cell>
          <cell r="D200">
            <v>-30000</v>
          </cell>
          <cell r="E200">
            <v>0</v>
          </cell>
          <cell r="F200">
            <v>0</v>
          </cell>
          <cell r="G200">
            <v>0</v>
          </cell>
          <cell r="H200">
            <v>-30000</v>
          </cell>
        </row>
        <row r="201">
          <cell r="B201" t="str">
            <v>037-5351-000</v>
          </cell>
          <cell r="C201" t="str">
            <v>Launch KC- Advertising/Marketing</v>
          </cell>
          <cell r="D201">
            <v>44509.72</v>
          </cell>
          <cell r="E201">
            <v>5325</v>
          </cell>
          <cell r="F201">
            <v>0</v>
          </cell>
          <cell r="G201">
            <v>5325</v>
          </cell>
          <cell r="H201">
            <v>49834.720000000001</v>
          </cell>
        </row>
        <row r="202">
          <cell r="B202" t="str">
            <v>037-6040-000</v>
          </cell>
          <cell r="C202" t="str">
            <v>Launch KC- - Contribution and Sponsorship</v>
          </cell>
          <cell r="D202">
            <v>4000</v>
          </cell>
          <cell r="E202">
            <v>0</v>
          </cell>
          <cell r="F202">
            <v>0</v>
          </cell>
          <cell r="G202">
            <v>0</v>
          </cell>
          <cell r="H202">
            <v>4000</v>
          </cell>
        </row>
        <row r="203">
          <cell r="B203" t="str">
            <v>045-5010-000</v>
          </cell>
          <cell r="C203" t="str">
            <v>Compensation</v>
          </cell>
          <cell r="D203">
            <v>131164.26999999999</v>
          </cell>
          <cell r="E203">
            <v>18824.080000000002</v>
          </cell>
          <cell r="F203">
            <v>3128.97</v>
          </cell>
          <cell r="G203">
            <v>15695.11</v>
          </cell>
          <cell r="H203">
            <v>146859.38</v>
          </cell>
        </row>
        <row r="204">
          <cell r="B204" t="str">
            <v>045-5120-000</v>
          </cell>
          <cell r="C204" t="str">
            <v>Payroll Taxes-FICA Medicare</v>
          </cell>
          <cell r="D204">
            <v>9496.5300000000007</v>
          </cell>
          <cell r="E204">
            <v>1426.05</v>
          </cell>
          <cell r="F204">
            <v>136.5</v>
          </cell>
          <cell r="G204">
            <v>1289.55</v>
          </cell>
          <cell r="H204">
            <v>10786.08</v>
          </cell>
        </row>
        <row r="205">
          <cell r="B205" t="str">
            <v>045-5200-000</v>
          </cell>
          <cell r="C205" t="str">
            <v>Employee Parking</v>
          </cell>
          <cell r="D205">
            <v>2027.49</v>
          </cell>
          <cell r="E205">
            <v>535</v>
          </cell>
          <cell r="F205">
            <v>7.2</v>
          </cell>
          <cell r="G205">
            <v>527.79999999999995</v>
          </cell>
          <cell r="H205">
            <v>2555.29</v>
          </cell>
        </row>
        <row r="206">
          <cell r="B206" t="str">
            <v>045-5210-000</v>
          </cell>
          <cell r="C206" t="str">
            <v>Medical Insurance</v>
          </cell>
          <cell r="D206">
            <v>5504.14</v>
          </cell>
          <cell r="E206">
            <v>1023.04</v>
          </cell>
          <cell r="F206">
            <v>306.92</v>
          </cell>
          <cell r="G206">
            <v>716.12</v>
          </cell>
          <cell r="H206">
            <v>6220.26</v>
          </cell>
        </row>
        <row r="207">
          <cell r="B207" t="str">
            <v>045-5220-000</v>
          </cell>
          <cell r="C207" t="str">
            <v>Life Insurance</v>
          </cell>
          <cell r="D207">
            <v>348</v>
          </cell>
          <cell r="E207">
            <v>0</v>
          </cell>
          <cell r="F207">
            <v>0</v>
          </cell>
          <cell r="G207">
            <v>0</v>
          </cell>
          <cell r="H207">
            <v>348</v>
          </cell>
        </row>
        <row r="208">
          <cell r="B208" t="str">
            <v>045-5230-000</v>
          </cell>
          <cell r="C208" t="str">
            <v>Dental Insurance</v>
          </cell>
          <cell r="D208">
            <v>327.60000000000002</v>
          </cell>
          <cell r="E208">
            <v>65.45</v>
          </cell>
          <cell r="F208">
            <v>24.5</v>
          </cell>
          <cell r="G208">
            <v>40.950000000000003</v>
          </cell>
          <cell r="H208">
            <v>368.55</v>
          </cell>
        </row>
        <row r="209">
          <cell r="B209" t="str">
            <v>045-5240-000</v>
          </cell>
          <cell r="C209" t="str">
            <v>Vision Insurance</v>
          </cell>
          <cell r="D209">
            <v>-96.96</v>
          </cell>
          <cell r="E209">
            <v>33.119999999999997</v>
          </cell>
          <cell r="F209">
            <v>16.260000000000002</v>
          </cell>
          <cell r="G209">
            <v>16.86</v>
          </cell>
          <cell r="H209">
            <v>-80.099999999999994</v>
          </cell>
        </row>
        <row r="210">
          <cell r="B210" t="str">
            <v>045-5250-000</v>
          </cell>
          <cell r="C210" t="str">
            <v>Disability Insurance</v>
          </cell>
          <cell r="D210">
            <v>976.05</v>
          </cell>
          <cell r="E210">
            <v>242.84</v>
          </cell>
          <cell r="F210">
            <v>0</v>
          </cell>
          <cell r="G210">
            <v>242.84</v>
          </cell>
          <cell r="H210">
            <v>1218.8900000000001</v>
          </cell>
        </row>
        <row r="211">
          <cell r="B211" t="str">
            <v>045-5270-000</v>
          </cell>
          <cell r="C211" t="str">
            <v>401K Contribution</v>
          </cell>
          <cell r="D211">
            <v>7335.46</v>
          </cell>
          <cell r="E211">
            <v>1350.28</v>
          </cell>
          <cell r="F211">
            <v>216.52</v>
          </cell>
          <cell r="G211">
            <v>1133.76</v>
          </cell>
          <cell r="H211">
            <v>8469.2199999999993</v>
          </cell>
        </row>
        <row r="212">
          <cell r="B212" t="str">
            <v>045-6010-000</v>
          </cell>
          <cell r="C212" t="str">
            <v>LCRA- - Office Supplies</v>
          </cell>
          <cell r="D212">
            <v>27.95</v>
          </cell>
          <cell r="E212">
            <v>0</v>
          </cell>
          <cell r="F212">
            <v>0</v>
          </cell>
          <cell r="G212">
            <v>0</v>
          </cell>
          <cell r="H212">
            <v>27.95</v>
          </cell>
        </row>
        <row r="213">
          <cell r="B213" t="str">
            <v>045-6340-000</v>
          </cell>
          <cell r="C213" t="str">
            <v>LCRA- -Messenger Service</v>
          </cell>
          <cell r="D213">
            <v>138.07</v>
          </cell>
          <cell r="E213">
            <v>0</v>
          </cell>
          <cell r="F213">
            <v>0</v>
          </cell>
          <cell r="G213">
            <v>0</v>
          </cell>
          <cell r="H213">
            <v>138.07</v>
          </cell>
        </row>
        <row r="214">
          <cell r="B214" t="str">
            <v>045-6350-000</v>
          </cell>
          <cell r="C214" t="str">
            <v>LCRA- - Board Parking</v>
          </cell>
          <cell r="D214">
            <v>22.09</v>
          </cell>
          <cell r="E214">
            <v>0</v>
          </cell>
          <cell r="F214">
            <v>0</v>
          </cell>
          <cell r="G214">
            <v>0</v>
          </cell>
          <cell r="H214">
            <v>22.09</v>
          </cell>
        </row>
        <row r="215">
          <cell r="B215" t="str">
            <v>060-3000-000</v>
          </cell>
          <cell r="C215" t="str">
            <v>City-General Fund</v>
          </cell>
          <cell r="D215">
            <v>-180000</v>
          </cell>
          <cell r="E215">
            <v>0</v>
          </cell>
          <cell r="F215">
            <v>0</v>
          </cell>
          <cell r="G215">
            <v>0</v>
          </cell>
          <cell r="H215">
            <v>-180000</v>
          </cell>
        </row>
        <row r="216">
          <cell r="B216" t="str">
            <v>060-5010-000</v>
          </cell>
          <cell r="C216" t="str">
            <v>Compensation</v>
          </cell>
          <cell r="D216">
            <v>234708.64</v>
          </cell>
          <cell r="E216">
            <v>34148.35</v>
          </cell>
          <cell r="F216">
            <v>5463.74</v>
          </cell>
          <cell r="G216">
            <v>28684.61</v>
          </cell>
          <cell r="H216">
            <v>263393.25</v>
          </cell>
        </row>
        <row r="217">
          <cell r="B217" t="str">
            <v>060-5120-000</v>
          </cell>
          <cell r="C217" t="str">
            <v>Payroll Taxes-FICA Medicare</v>
          </cell>
          <cell r="D217">
            <v>17463.54</v>
          </cell>
          <cell r="E217">
            <v>2498.11</v>
          </cell>
          <cell r="F217">
            <v>446.44</v>
          </cell>
          <cell r="G217">
            <v>2051.67</v>
          </cell>
          <cell r="H217">
            <v>19515.21</v>
          </cell>
        </row>
        <row r="218">
          <cell r="B218" t="str">
            <v>060-5200-000</v>
          </cell>
          <cell r="C218" t="str">
            <v>Employee Parking</v>
          </cell>
          <cell r="D218">
            <v>2177.44</v>
          </cell>
          <cell r="E218">
            <v>382.5</v>
          </cell>
          <cell r="F218">
            <v>34</v>
          </cell>
          <cell r="G218">
            <v>348.5</v>
          </cell>
          <cell r="H218">
            <v>2525.94</v>
          </cell>
        </row>
        <row r="219">
          <cell r="B219" t="str">
            <v>060-5210-000</v>
          </cell>
          <cell r="C219" t="str">
            <v>Medical Insurance</v>
          </cell>
          <cell r="D219">
            <v>18816.5</v>
          </cell>
          <cell r="E219">
            <v>3627.13</v>
          </cell>
          <cell r="F219">
            <v>1218.32</v>
          </cell>
          <cell r="G219">
            <v>2408.81</v>
          </cell>
          <cell r="H219">
            <v>21225.31</v>
          </cell>
        </row>
        <row r="220">
          <cell r="B220" t="str">
            <v>060-5220-000</v>
          </cell>
          <cell r="C220" t="str">
            <v>Life Insurance</v>
          </cell>
          <cell r="D220">
            <v>593.03</v>
          </cell>
          <cell r="E220">
            <v>0</v>
          </cell>
          <cell r="F220">
            <v>43.1</v>
          </cell>
          <cell r="G220">
            <v>-43.1</v>
          </cell>
          <cell r="H220">
            <v>549.92999999999995</v>
          </cell>
        </row>
        <row r="221">
          <cell r="B221" t="str">
            <v>060-5230-000</v>
          </cell>
          <cell r="C221" t="str">
            <v>Dental Insurance</v>
          </cell>
          <cell r="D221">
            <v>1175</v>
          </cell>
          <cell r="E221">
            <v>189.4</v>
          </cell>
          <cell r="F221">
            <v>49</v>
          </cell>
          <cell r="G221">
            <v>140.4</v>
          </cell>
          <cell r="H221">
            <v>1315.4</v>
          </cell>
        </row>
        <row r="222">
          <cell r="B222" t="str">
            <v>060-5240-000</v>
          </cell>
          <cell r="C222" t="str">
            <v>Vision Insurance</v>
          </cell>
          <cell r="D222">
            <v>496.11</v>
          </cell>
          <cell r="E222">
            <v>63.94</v>
          </cell>
          <cell r="F222">
            <v>16.25</v>
          </cell>
          <cell r="G222">
            <v>47.69</v>
          </cell>
          <cell r="H222">
            <v>543.79999999999995</v>
          </cell>
        </row>
        <row r="223">
          <cell r="B223" t="str">
            <v>060-5250-000</v>
          </cell>
          <cell r="C223" t="str">
            <v>Disability Insurance</v>
          </cell>
          <cell r="D223">
            <v>1893.54</v>
          </cell>
          <cell r="E223">
            <v>487.88</v>
          </cell>
          <cell r="F223">
            <v>0</v>
          </cell>
          <cell r="G223">
            <v>487.88</v>
          </cell>
          <cell r="H223">
            <v>2381.42</v>
          </cell>
        </row>
        <row r="224">
          <cell r="B224" t="str">
            <v>060-5270-000</v>
          </cell>
          <cell r="C224" t="str">
            <v>401K Contribution</v>
          </cell>
          <cell r="D224">
            <v>20633.150000000001</v>
          </cell>
          <cell r="E224">
            <v>2977.15</v>
          </cell>
          <cell r="F224">
            <v>505.64</v>
          </cell>
          <cell r="G224">
            <v>2471.5100000000002</v>
          </cell>
          <cell r="H224">
            <v>23104.66</v>
          </cell>
        </row>
        <row r="225">
          <cell r="B225" t="str">
            <v>060-5300-000</v>
          </cell>
          <cell r="C225" t="str">
            <v>Travel &amp; Entertainment</v>
          </cell>
          <cell r="D225">
            <v>148.41999999999999</v>
          </cell>
          <cell r="E225">
            <v>106.24</v>
          </cell>
          <cell r="F225">
            <v>0</v>
          </cell>
          <cell r="G225">
            <v>106.24</v>
          </cell>
          <cell r="H225">
            <v>254.66</v>
          </cell>
        </row>
        <row r="226">
          <cell r="B226" t="str">
            <v>060-5310-000</v>
          </cell>
          <cell r="C226" t="str">
            <v>Professional Activities</v>
          </cell>
          <cell r="D226">
            <v>0</v>
          </cell>
          <cell r="E226">
            <v>100.51</v>
          </cell>
          <cell r="F226">
            <v>0</v>
          </cell>
          <cell r="G226">
            <v>100.51</v>
          </cell>
          <cell r="H226">
            <v>100.51</v>
          </cell>
        </row>
        <row r="227">
          <cell r="B227" t="str">
            <v>TRIAL BALANCE SUMMARY FOR 2016</v>
          </cell>
          <cell r="C227">
            <v>42412</v>
          </cell>
          <cell r="D227">
            <v>0.56245370370370373</v>
          </cell>
          <cell r="E227" t="str">
            <v>Page:</v>
          </cell>
          <cell r="F227">
            <v>4</v>
          </cell>
          <cell r="G227" t="str">
            <v>User Date:</v>
          </cell>
          <cell r="H227">
            <v>42411</v>
          </cell>
        </row>
        <row r="229">
          <cell r="B229" t="str">
            <v>Account</v>
          </cell>
          <cell r="C229" t="str">
            <v>Description</v>
          </cell>
          <cell r="D229" t="str">
            <v>Beginning Balance</v>
          </cell>
          <cell r="E229" t="str">
            <v>Credit</v>
          </cell>
          <cell r="F229" t="str">
            <v>Net Change</v>
          </cell>
          <cell r="G229" t="str">
            <v>Ending Balance</v>
          </cell>
          <cell r="H229" t="str">
            <v>Debit</v>
          </cell>
        </row>
        <row r="230">
          <cell r="B230" t="str">
            <v>060-6010-000</v>
          </cell>
          <cell r="C230" t="str">
            <v>TIF Commission- - Office Supplies</v>
          </cell>
          <cell r="D230">
            <v>117.14</v>
          </cell>
          <cell r="E230">
            <v>0</v>
          </cell>
          <cell r="F230">
            <v>0</v>
          </cell>
          <cell r="G230">
            <v>0</v>
          </cell>
          <cell r="H230">
            <v>117.14</v>
          </cell>
        </row>
        <row r="231">
          <cell r="B231" t="str">
            <v>060-6340-000</v>
          </cell>
          <cell r="C231" t="str">
            <v>TIF Commission- - Messenger Servide</v>
          </cell>
          <cell r="D231">
            <v>27.6</v>
          </cell>
          <cell r="E231">
            <v>0</v>
          </cell>
          <cell r="F231">
            <v>0</v>
          </cell>
          <cell r="G231">
            <v>0</v>
          </cell>
          <cell r="H231">
            <v>27.6</v>
          </cell>
        </row>
        <row r="232">
          <cell r="B232" t="str">
            <v>060-6350-000</v>
          </cell>
          <cell r="C232" t="str">
            <v>TIF Commission- - Board Parking</v>
          </cell>
          <cell r="D232">
            <v>61.19</v>
          </cell>
          <cell r="E232">
            <v>0</v>
          </cell>
          <cell r="F232">
            <v>0</v>
          </cell>
          <cell r="G232">
            <v>0</v>
          </cell>
          <cell r="H232">
            <v>61.19</v>
          </cell>
        </row>
        <row r="233">
          <cell r="B233" t="str">
            <v>060-6500-000</v>
          </cell>
          <cell r="C233" t="str">
            <v>TIF Commission-Accounting Services</v>
          </cell>
          <cell r="D233">
            <v>92497.5</v>
          </cell>
          <cell r="E233">
            <v>6660</v>
          </cell>
          <cell r="F233">
            <v>0</v>
          </cell>
          <cell r="G233">
            <v>6660</v>
          </cell>
          <cell r="H233">
            <v>99157.5</v>
          </cell>
        </row>
        <row r="234">
          <cell r="B234" t="str">
            <v>060-6530-000</v>
          </cell>
          <cell r="C234" t="str">
            <v>TIF Commission- - Consultant Expense</v>
          </cell>
          <cell r="D234">
            <v>114.4</v>
          </cell>
          <cell r="E234">
            <v>0</v>
          </cell>
          <cell r="F234">
            <v>0</v>
          </cell>
          <cell r="G234">
            <v>0</v>
          </cell>
          <cell r="H234">
            <v>114.4</v>
          </cell>
        </row>
        <row r="235">
          <cell r="B235" t="str">
            <v>080-5405-000</v>
          </cell>
          <cell r="C235" t="str">
            <v>Miscellaneous Admin Expense - NSP</v>
          </cell>
          <cell r="D235">
            <v>1273.9100000000001</v>
          </cell>
          <cell r="E235">
            <v>0</v>
          </cell>
          <cell r="F235">
            <v>0</v>
          </cell>
          <cell r="G235">
            <v>0</v>
          </cell>
          <cell r="H235">
            <v>1273.9100000000001</v>
          </cell>
        </row>
        <row r="236">
          <cell r="B236" t="str">
            <v>Beginning Balance</v>
          </cell>
          <cell r="C236" t="str">
            <v>Debit</v>
          </cell>
          <cell r="D236" t="str">
            <v>Credit</v>
          </cell>
          <cell r="E236" t="str">
            <v>Net Change</v>
          </cell>
          <cell r="F236" t="str">
            <v>Ending Balance</v>
          </cell>
        </row>
        <row r="237">
          <cell r="B237">
            <v>218</v>
          </cell>
          <cell r="C237">
            <v>-500</v>
          </cell>
          <cell r="D237">
            <v>1630791.81</v>
          </cell>
          <cell r="E237">
            <v>1630291.81</v>
          </cell>
          <cell r="F237">
            <v>500</v>
          </cell>
          <cell r="G237">
            <v>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e Brown" refreshedDate="42443.599282175928" createdVersion="4" refreshedVersion="4" minRefreshableVersion="3" recordCount="288">
  <cacheSource type="worksheet">
    <worksheetSource ref="A1:L289" sheet="Trial Balance"/>
  </cacheSource>
  <cacheFields count="12">
    <cacheField name="no" numFmtId="0">
      <sharedItems containsString="0" containsBlank="1" containsNumber="1" containsInteger="1" minValue="1" maxValue="287"/>
    </cacheField>
    <cacheField name="type" numFmtId="0">
      <sharedItems containsString="0" containsBlank="1" containsNumber="1" containsInteger="1" minValue="1" maxValue="5" count="6">
        <n v="1"/>
        <n v="2"/>
        <n v="3"/>
        <n v="4"/>
        <n v="5"/>
        <m/>
      </sharedItems>
    </cacheField>
    <cacheField name="pro" numFmtId="0">
      <sharedItems containsString="0" containsBlank="1" containsNumber="1" containsInteger="1" minValue="0" maxValue="80"/>
    </cacheField>
    <cacheField name="Acct" numFmtId="0">
      <sharedItems containsString="0" containsBlank="1" containsNumber="1" containsInteger="1" minValue="10" maxValue="77" count="47">
        <n v="10"/>
        <n v="11"/>
        <n v="14"/>
        <n v="12"/>
        <n v="13"/>
        <n v="16"/>
        <n v="20"/>
        <n v="21"/>
        <n v="22"/>
        <n v="23"/>
        <n v="30"/>
        <n v="40"/>
        <n v="41"/>
        <n v="42"/>
        <n v="47"/>
        <n v="45"/>
        <n v="48"/>
        <n v="46"/>
        <n v="50"/>
        <n v="15"/>
        <n v="60"/>
        <n v="62"/>
        <n v="71"/>
        <n v="51"/>
        <n v="67"/>
        <n v="52"/>
        <n v="77"/>
        <n v="69"/>
        <n v="73"/>
        <n v="76"/>
        <n v="70"/>
        <n v="65"/>
        <n v="63"/>
        <n v="53"/>
        <n v="54"/>
        <n v="55"/>
        <n v="57"/>
        <n v="56"/>
        <n v="58"/>
        <n v="64"/>
        <n v="66"/>
        <n v="68"/>
        <n v="74"/>
        <n v="72"/>
        <n v="59"/>
        <n v="75"/>
        <m/>
      </sharedItems>
    </cacheField>
    <cacheField name="Class" numFmtId="0">
      <sharedItems containsBlank="1" count="100">
        <s v="Cash and cash equivalents"/>
        <s v="Investments"/>
        <s v="Prepaid expenses and other"/>
        <s v="Accounts Receivable"/>
        <s v="Due from City/EDC Loan "/>
        <s v="Property &amp; equipment, net"/>
        <s v="Accounts payable"/>
        <s v="Accrued expenses"/>
        <s v="Deferred Revenue"/>
        <s v="Deferred Credit - Lease Incentive"/>
        <s v="Fund Balance"/>
        <s v="City contribution"/>
        <s v="KCIC Fees"/>
        <s v="Loan Corp Fees"/>
        <s v="Business Development Revenue"/>
        <s v="Program Revenue"/>
        <s v="Other Revenue"/>
        <s v="EDC PIEA Fee Revenue"/>
        <s v="IDA Fees"/>
        <s v="LCRA Fees"/>
        <s v="TIF Fees"/>
        <s v="Cornerstone revenues"/>
        <s v="Chapter 100 Bond Fees"/>
        <s v="Interest income"/>
        <s v="Photocopy Recovery"/>
        <s v="Compensation and benefits"/>
        <s v="Due from EDC Loan"/>
        <s v="Travel &amp; Entertainment"/>
        <s v="Training &amp; educational"/>
        <s v="Dues and subscriptions"/>
        <s v="KCADC Membership"/>
        <s v="Outside Consultants"/>
        <s v="Marketing and public relations"/>
        <s v="Contribution to EDC Loan"/>
        <s v="Other expenes"/>
        <s v="Program expenses"/>
        <s v="Supplies/meetings "/>
        <s v="Temporary Services"/>
        <s v="Computer equipment and software"/>
        <s v="Contributions and Sponsorships"/>
        <s v="Equipment leases and maintenance"/>
        <s v="Phones"/>
        <s v="Postage and delivery"/>
        <s v="Rent and utilities "/>
        <s v="Accounting services "/>
        <s v="Legal services "/>
        <s v="Recruiting Expenses"/>
        <s v="Insurance"/>
        <s v="Interest Expense"/>
        <s v="Depreciation"/>
        <s v="Cornerstone awards expense"/>
        <s v="Capital outlay"/>
        <m/>
        <s v="Due from City " u="1"/>
        <s v="17 - Postage &amp; delivery" u="1"/>
        <s v="17 - Cornerstone " u="1"/>
        <s v="20 - Accounts payable" u="1"/>
        <s v="20 - Postage recovery" u="1"/>
        <s v="24 - Legal services" u="1"/>
        <s v="27 - Outside consultants" u="1"/>
        <s v="18 - Accounting services" u="1"/>
        <s v="12 - BD Revenues" u="1"/>
        <s v="23 - Computer Equp. &amp; Software" u="1"/>
        <s v="31 - Dues &amp; subscriptions" u="1"/>
        <s v="11 - KCADC Membership" u="1"/>
        <s v="22 - Training and Educational" u="1"/>
        <s v="20 - Interest income" u="1"/>
        <s v="21 - Accrued expenses" u="1"/>
        <s v="33 - Interest expense" u="1"/>
        <s v="22 - Interest income" u="1"/>
        <s v="2 - Accounts Receivable" u="1"/>
        <s v="1 - Cash and cash equivalents" u="1"/>
        <s v="28 - Insurance" u="1"/>
        <s v="20 - Travel &amp; entertainment" u="1"/>
        <s v="12 - Other Fees" u="1"/>
        <s v="15 - Program income" u="1"/>
        <s v=" " u="1"/>
        <s v="19 - Cornerstone awards exp" u="1"/>
        <s v="11 -Administrative Fees - Affiliated Orgs" u="1"/>
        <s v="21 - Contribution to EDC Loan" u="1"/>
        <s v="25 - Temp. Services" u="1"/>
        <s v="19 - Photocopy recovery" u="1"/>
        <s v="13 - Contributions and sponsorships" u="1"/>
        <s v="16 - Rent &amp; Utilities" u="1"/>
        <s v="3 - Accounts Receivable - Related party" u="1"/>
        <s v="10 - City Contributions" u="1"/>
        <s v="34 - Program expense" u="1"/>
        <s v="12 - Marketing &amp; public relations" u="1"/>
        <s v="4 - Prepaid expenses and other" u="1"/>
        <s v="15 - Telephones" u="1"/>
        <s v="30 - Office Supplies &amp; Meetings" u="1"/>
        <s v="32 - Depreciation" u="1"/>
        <s v="10 - Compensation" u="1"/>
        <s v="14 - Equipment leases" u="1"/>
        <s v="16 - Other" u="1"/>
        <s v="29 - Miscellaneous" u="1"/>
        <s v="26 - Recruiting expense" u="1"/>
        <s v="Unearned revenue" u="1"/>
        <s v="5 - Property &amp; equipment" u="1"/>
        <s v="24 - Deferred Credit - Lease Incentive" u="1"/>
      </sharedItems>
    </cacheField>
    <cacheField name="Account" numFmtId="0">
      <sharedItems containsBlank="1"/>
    </cacheField>
    <cacheField name="Account2" numFmtId="49">
      <sharedItems containsBlank="1" containsMixedTypes="1" containsNumber="1" containsInteger="1" minValue="0" maxValue="120"/>
    </cacheField>
    <cacheField name="acct2" numFmtId="49">
      <sharedItems containsBlank="1" containsMixedTypes="1" containsNumber="1" containsInteger="1" minValue="1101" maxValue="9999"/>
    </cacheField>
    <cacheField name="acct3" numFmtId="49">
      <sharedItems containsString="0" containsBlank="1" containsNumber="1" containsInteger="1" minValue="0" maxValue="28"/>
    </cacheField>
    <cacheField name="Description" numFmtId="0">
      <sharedItems containsBlank="1"/>
    </cacheField>
    <cacheField name="4/30/2015" numFmtId="0">
      <sharedItems containsString="0" containsBlank="1" containsNumber="1" minValue="-2838000" maxValue="822199.13"/>
    </cacheField>
    <cacheField name="10/31/2015" numFmtId="43">
      <sharedItems containsMixedTypes="1" containsNumber="1" minValue="-1826914.54" maxValue="617981.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8">
  <r>
    <n v="1"/>
    <x v="0"/>
    <n v="0"/>
    <x v="0"/>
    <x v="0"/>
    <s v="000-1101-000"/>
    <n v="0"/>
    <n v="1101"/>
    <n v="0"/>
    <s v="Cash - NSP"/>
    <n v="7215.91"/>
    <n v="0"/>
  </r>
  <r>
    <n v="2"/>
    <x v="0"/>
    <n v="0"/>
    <x v="0"/>
    <x v="0"/>
    <s v="000-1105-000"/>
    <n v="0"/>
    <n v="1105"/>
    <n v="0"/>
    <s v="Cash - Payroll"/>
    <m/>
    <n v="0"/>
  </r>
  <r>
    <n v="3"/>
    <x v="0"/>
    <n v="0"/>
    <x v="0"/>
    <x v="0"/>
    <s v="000-1110-000"/>
    <n v="0"/>
    <n v="1110"/>
    <n v="0"/>
    <s v="Petty Cash"/>
    <n v="54.92"/>
    <n v="54.92"/>
  </r>
  <r>
    <n v="4"/>
    <x v="0"/>
    <n v="0"/>
    <x v="0"/>
    <x v="0"/>
    <s v="000-1115-000"/>
    <n v="0"/>
    <n v="1115"/>
    <n v="0"/>
    <s v="cash - EDC General"/>
    <n v="509671.43"/>
    <n v="564161.06000000006"/>
  </r>
  <r>
    <n v="5"/>
    <x v="0"/>
    <n v="0"/>
    <x v="0"/>
    <x v="0"/>
    <s v="000-1117-000"/>
    <n v="0"/>
    <n v="1117"/>
    <n v="0"/>
    <s v="PC Replacement Program"/>
    <m/>
    <n v="70000"/>
  </r>
  <r>
    <n v="6"/>
    <x v="0"/>
    <n v="0"/>
    <x v="0"/>
    <x v="0"/>
    <s v="000-1119-000"/>
    <n v="0"/>
    <n v="1119"/>
    <n v="0"/>
    <s v="EDC Reserve Account"/>
    <n v="390779.26"/>
    <n v="391364.99"/>
  </r>
  <r>
    <n v="7"/>
    <x v="0"/>
    <n v="0"/>
    <x v="1"/>
    <x v="1"/>
    <s v="000-1120-000"/>
    <n v="0"/>
    <n v="1120"/>
    <n v="0"/>
    <s v="EDC Investments"/>
    <n v="617105"/>
    <n v="617981.63"/>
  </r>
  <r>
    <n v="8"/>
    <x v="0"/>
    <n v="0"/>
    <x v="2"/>
    <x v="2"/>
    <s v="000-1175-000"/>
    <n v="0"/>
    <n v="1175"/>
    <n v="0"/>
    <s v="Prepaid Insurance"/>
    <n v="63502.78"/>
    <n v="54841.9"/>
  </r>
  <r>
    <n v="9"/>
    <x v="0"/>
    <n v="0"/>
    <x v="2"/>
    <x v="2"/>
    <s v="000-1180-000"/>
    <n v="0"/>
    <n v="1180"/>
    <n v="0"/>
    <s v="Prepaid Expenses"/>
    <n v="59882.44"/>
    <n v="42045.88"/>
  </r>
  <r>
    <n v="10"/>
    <x v="0"/>
    <n v="0"/>
    <x v="3"/>
    <x v="3"/>
    <s v="000-1200-000"/>
    <n v="0"/>
    <n v="1200"/>
    <n v="0"/>
    <s v="Accounts Receivable"/>
    <n v="822199.13"/>
    <n v="29604.560000000001"/>
  </r>
  <r>
    <n v="11"/>
    <x v="0"/>
    <n v="0"/>
    <x v="3"/>
    <x v="3"/>
    <s v="000-1201-000"/>
    <n v="0"/>
    <n v="1201"/>
    <n v="0"/>
    <s v="Accounts Receivable-Related Party"/>
    <n v="56"/>
    <n v="69"/>
  </r>
  <r>
    <n v="12"/>
    <x v="0"/>
    <n v="0"/>
    <x v="3"/>
    <x v="3"/>
    <s v="000-1203-000"/>
    <n v="0"/>
    <n v="1203"/>
    <n v="0"/>
    <s v="Accounts Receivable - NSP"/>
    <n v="757.32"/>
    <n v="365"/>
  </r>
  <r>
    <n v="13"/>
    <x v="0"/>
    <n v="0"/>
    <x v="4"/>
    <x v="4"/>
    <s v="000-1204-000"/>
    <n v="0"/>
    <n v="1204"/>
    <n v="0"/>
    <s v="Other Receivables"/>
    <n v="3110.5"/>
    <n v="20140.43"/>
  </r>
  <r>
    <n v="14"/>
    <x v="0"/>
    <n v="0"/>
    <x v="3"/>
    <x v="3"/>
    <s v="000-1210-000"/>
    <n v="0"/>
    <n v="1210"/>
    <n v="0"/>
    <s v="Accrued Interest Receivable"/>
    <n v="792.93"/>
    <n v="814.61"/>
  </r>
  <r>
    <n v="15"/>
    <x v="0"/>
    <n v="0"/>
    <x v="5"/>
    <x v="5"/>
    <s v="000-1500-000"/>
    <n v="0"/>
    <n v="1500"/>
    <n v="0"/>
    <s v="Furniture &amp; Fixtures"/>
    <n v="279833.3"/>
    <n v="290674"/>
  </r>
  <r>
    <n v="16"/>
    <x v="0"/>
    <n v="0"/>
    <x v="5"/>
    <x v="5"/>
    <s v="000-1505-000"/>
    <n v="0"/>
    <n v="1505"/>
    <n v="0"/>
    <s v="Leasehold Improvements"/>
    <n v="22432.25"/>
    <n v="31357.25"/>
  </r>
  <r>
    <n v="17"/>
    <x v="0"/>
    <n v="0"/>
    <x v="5"/>
    <x v="5"/>
    <s v="000-1510-000"/>
    <n v="0"/>
    <n v="1510"/>
    <n v="0"/>
    <s v="Computer Hardware"/>
    <n v="270371.12"/>
    <n v="271861.51"/>
  </r>
  <r>
    <n v="18"/>
    <x v="0"/>
    <n v="0"/>
    <x v="5"/>
    <x v="5"/>
    <s v="000-1515-000"/>
    <n v="0"/>
    <n v="1515"/>
    <n v="0"/>
    <s v="Computer Software"/>
    <n v="50586.71"/>
    <n v="56616.71"/>
  </r>
  <r>
    <n v="19"/>
    <x v="0"/>
    <n v="0"/>
    <x v="5"/>
    <x v="5"/>
    <s v="000-1520-000"/>
    <n v="0"/>
    <n v="1520"/>
    <n v="0"/>
    <s v="Additional Fixed Assets"/>
    <n v="512.96"/>
    <n v="0"/>
  </r>
  <r>
    <n v="20"/>
    <x v="0"/>
    <n v="0"/>
    <x v="5"/>
    <x v="5"/>
    <s v="000-1610-000"/>
    <n v="0"/>
    <n v="1610"/>
    <n v="0"/>
    <s v="Accum. Depr. Comp. Hardware"/>
    <n v="-260599.62"/>
    <n v="-265889.40000000002"/>
  </r>
  <r>
    <n v="21"/>
    <x v="0"/>
    <n v="0"/>
    <x v="5"/>
    <x v="5"/>
    <s v="000-1620-000"/>
    <n v="0"/>
    <n v="1620"/>
    <n v="0"/>
    <s v="Accum. Depr. Comp. Software"/>
    <n v="-50586.71"/>
    <n v="-51761.31"/>
  </r>
  <r>
    <n v="22"/>
    <x v="0"/>
    <n v="0"/>
    <x v="5"/>
    <x v="5"/>
    <s v="000-1630-000"/>
    <n v="0"/>
    <n v="1630"/>
    <n v="0"/>
    <s v="Accum. Depr. Furn. &amp; Fixtures"/>
    <n v="-277187.64"/>
    <n v="-279162.55"/>
  </r>
  <r>
    <n v="23"/>
    <x v="0"/>
    <n v="0"/>
    <x v="5"/>
    <x v="5"/>
    <s v="000-1640-000"/>
    <n v="0"/>
    <n v="1640"/>
    <n v="0"/>
    <s v="Accum. Depr. Leasehold Improv."/>
    <n v="-15757.44"/>
    <n v="-17478.490000000002"/>
  </r>
  <r>
    <n v="24"/>
    <x v="1"/>
    <n v="0"/>
    <x v="6"/>
    <x v="6"/>
    <s v="000-2000-000"/>
    <n v="0"/>
    <n v="2000"/>
    <n v="0"/>
    <s v="Accounts Payable"/>
    <n v="-95237.2"/>
    <n v="-47796.59"/>
  </r>
  <r>
    <n v="25"/>
    <x v="1"/>
    <n v="0"/>
    <x v="6"/>
    <x v="6"/>
    <s v="000-2003-000"/>
    <n v="0"/>
    <n v="2003"/>
    <n v="0"/>
    <s v="Accounts Payable - NSP"/>
    <n v="-1273.79"/>
    <n v="0"/>
  </r>
  <r>
    <n v="26"/>
    <x v="1"/>
    <n v="0"/>
    <x v="6"/>
    <x v="6"/>
    <s v="000-2005-000"/>
    <n v="0"/>
    <n v="2005"/>
    <n v="0"/>
    <s v="Accrued Liabilities"/>
    <n v="-17405.5"/>
    <n v="-56995"/>
  </r>
  <r>
    <n v="27"/>
    <x v="1"/>
    <n v="0"/>
    <x v="7"/>
    <x v="7"/>
    <s v="000-2006-000"/>
    <n v="0"/>
    <n v="2006"/>
    <n v="0"/>
    <s v="Accrued Payroll Expenses"/>
    <n v="-157404.1"/>
    <n v="-49601.41"/>
  </r>
  <r>
    <n v="28"/>
    <x v="1"/>
    <n v="0"/>
    <x v="7"/>
    <x v="7"/>
    <s v="000-2080-000"/>
    <n v="0"/>
    <n v="2080"/>
    <n v="0"/>
    <s v="401K Contribution Withheld"/>
    <n v="-5781.24"/>
    <n v="0"/>
  </r>
  <r>
    <n v="29"/>
    <x v="1"/>
    <n v="0"/>
    <x v="7"/>
    <x v="7"/>
    <s v="000-2085-000"/>
    <n v="0"/>
    <n v="2085"/>
    <n v="0"/>
    <s v="401K Employer Match Liability"/>
    <n v="-7902.96"/>
    <n v="0"/>
  </r>
  <r>
    <n v="30"/>
    <x v="1"/>
    <n v="0"/>
    <x v="7"/>
    <x v="7"/>
    <s v="000-2100-000"/>
    <n v="0"/>
    <n v="2100"/>
    <n v="0"/>
    <s v="United Way Contr. Withheld"/>
    <n v="-2101.46"/>
    <n v="0"/>
  </r>
  <r>
    <n v="31"/>
    <x v="1"/>
    <n v="0"/>
    <x v="7"/>
    <x v="7"/>
    <s v="000-2110-000"/>
    <n v="0"/>
    <n v="2110"/>
    <n v="0"/>
    <s v="Personal Leave Accrual"/>
    <n v="-42172.25"/>
    <n v="-42172.25"/>
  </r>
  <r>
    <n v="32"/>
    <x v="1"/>
    <n v="0"/>
    <x v="7"/>
    <x v="7"/>
    <s v="000-2115-000"/>
    <n v="0"/>
    <n v="2115"/>
    <n v="0"/>
    <s v="Cafeteria Plan Liability"/>
    <n v="1946.56"/>
    <n v="-2458.5300000000002"/>
  </r>
  <r>
    <n v="33"/>
    <x v="1"/>
    <n v="0"/>
    <x v="8"/>
    <x v="8"/>
    <s v="000-2200-000"/>
    <n v="0"/>
    <n v="2200"/>
    <n v="0"/>
    <s v="Deferred Revenue"/>
    <n v="-142962.5"/>
    <n v="-126729.25"/>
  </r>
  <r>
    <n v="34"/>
    <x v="1"/>
    <n v="0"/>
    <x v="9"/>
    <x v="9"/>
    <s v="000-2250-000"/>
    <n v="0"/>
    <n v="2250"/>
    <n v="0"/>
    <s v="Deferred Credit - Lease Incentive"/>
    <n v="-126193.36"/>
    <n v="-112585"/>
  </r>
  <r>
    <n v="35"/>
    <x v="2"/>
    <n v="0"/>
    <x v="10"/>
    <x v="10"/>
    <s v="000-2900-000"/>
    <n v="0"/>
    <n v="2900"/>
    <n v="0"/>
    <s v="Fund Balance"/>
    <n v="-2142863.6800000002"/>
    <n v="-1826914.54"/>
  </r>
  <r>
    <n v="37"/>
    <x v="3"/>
    <n v="10"/>
    <x v="11"/>
    <x v="11"/>
    <s v="000-3000-000"/>
    <n v="0"/>
    <n v="3000"/>
    <n v="0"/>
    <s v="City - General Fund"/>
    <n v="-1004000"/>
    <n v="-875000"/>
  </r>
  <r>
    <n v="131"/>
    <x v="3"/>
    <n v="0"/>
    <x v="11"/>
    <x v="11"/>
    <s v="020-3000-000"/>
    <n v="20"/>
    <n v="3000"/>
    <n v="0"/>
    <s v="City-General Fund"/>
    <m/>
    <n v="-200000"/>
  </r>
  <r>
    <n v="210"/>
    <x v="3"/>
    <n v="0"/>
    <x v="11"/>
    <x v="11"/>
    <s v="036-3000-000"/>
    <n v="36"/>
    <n v="3000"/>
    <n v="0"/>
    <s v="City-General Fund"/>
    <m/>
    <n v="-120000"/>
  </r>
  <r>
    <n v="259"/>
    <x v="3"/>
    <n v="0"/>
    <x v="11"/>
    <x v="11"/>
    <s v="060-3000-000"/>
    <n v="60"/>
    <n v="3000"/>
    <n v="0"/>
    <s v="City-General Fund"/>
    <m/>
    <n v="-180000"/>
  </r>
  <r>
    <n v="38"/>
    <x v="3"/>
    <n v="10"/>
    <x v="12"/>
    <x v="12"/>
    <s v="000-3300-000"/>
    <n v="0"/>
    <n v="3300"/>
    <n v="0"/>
    <s v="KCIC Fees"/>
    <n v="-8000"/>
    <n v="-9000"/>
  </r>
  <r>
    <n v="39"/>
    <x v="3"/>
    <n v="10"/>
    <x v="12"/>
    <x v="13"/>
    <s v="000-4000-000"/>
    <n v="0"/>
    <n v="4000"/>
    <n v="0"/>
    <s v="Loan Corp Fees"/>
    <n v="-157500"/>
    <n v="0"/>
  </r>
  <r>
    <n v="40"/>
    <x v="3"/>
    <n v="10"/>
    <x v="13"/>
    <x v="14"/>
    <s v="000-4020-000"/>
    <n v="0"/>
    <n v="4020"/>
    <n v="0"/>
    <s v="BD Revenues"/>
    <n v="-34248"/>
    <n v="0"/>
  </r>
  <r>
    <n v="73"/>
    <x v="3"/>
    <n v="0"/>
    <x v="13"/>
    <x v="14"/>
    <s v="010-4020-000"/>
    <n v="10"/>
    <n v="4020"/>
    <n v="0"/>
    <s v="BD Revenues"/>
    <m/>
    <n v="0"/>
  </r>
  <r>
    <n v="182"/>
    <x v="3"/>
    <n v="35"/>
    <x v="13"/>
    <x v="14"/>
    <s v="035-4020-000"/>
    <n v="35"/>
    <n v="4020"/>
    <n v="0"/>
    <s v="BD Revenues"/>
    <n v="-138255"/>
    <n v="-220007.73"/>
  </r>
  <r>
    <n v="57"/>
    <x v="3"/>
    <n v="80"/>
    <x v="14"/>
    <x v="15"/>
    <s v="005-4021-000"/>
    <n v="5"/>
    <n v="4021"/>
    <n v="0"/>
    <s v="HEDFC-Rebuild KC HEDFC-"/>
    <n v="-62036.73"/>
    <n v="0"/>
  </r>
  <r>
    <n v="233"/>
    <x v="3"/>
    <n v="37"/>
    <x v="15"/>
    <x v="16"/>
    <s v="037-4024-000"/>
    <n v="37"/>
    <n v="4024"/>
    <n v="0"/>
    <s v="Launch KC- Grant"/>
    <m/>
    <n v="-30000"/>
  </r>
  <r>
    <n v="41"/>
    <x v="3"/>
    <n v="0"/>
    <x v="12"/>
    <x v="17"/>
    <s v="000-4025-000"/>
    <n v="0"/>
    <n v="4025"/>
    <n v="0"/>
    <s v="EDC PIEA Fee Revenue"/>
    <m/>
    <n v="-7000"/>
  </r>
  <r>
    <n v="42"/>
    <x v="3"/>
    <n v="0"/>
    <x v="12"/>
    <x v="18"/>
    <s v="000-4040-000"/>
    <n v="0"/>
    <n v="4040"/>
    <n v="0"/>
    <s v="IDA Fees"/>
    <m/>
    <n v="-11900"/>
  </r>
  <r>
    <n v="43"/>
    <x v="3"/>
    <n v="10"/>
    <x v="12"/>
    <x v="19"/>
    <s v="000-4050-000"/>
    <n v="0"/>
    <n v="4050"/>
    <n v="0"/>
    <s v="LCRA Fees"/>
    <n v="-50000"/>
    <n v="-25000"/>
  </r>
  <r>
    <n v="44"/>
    <x v="3"/>
    <n v="10"/>
    <x v="12"/>
    <x v="20"/>
    <s v="000-4080-000"/>
    <n v="0"/>
    <n v="4080"/>
    <n v="0"/>
    <s v="TIF Fees"/>
    <n v="-2838000"/>
    <n v="-1300000"/>
  </r>
  <r>
    <n v="45"/>
    <x v="3"/>
    <n v="11"/>
    <x v="16"/>
    <x v="21"/>
    <s v="000-4100-000"/>
    <n v="0"/>
    <n v="4100"/>
    <n v="0"/>
    <s v="Cornerstone Luncheon"/>
    <n v="-168581"/>
    <n v="0"/>
  </r>
  <r>
    <n v="127"/>
    <x v="3"/>
    <n v="0"/>
    <x v="16"/>
    <x v="21"/>
    <s v="011-4100-000"/>
    <n v="11"/>
    <n v="4100"/>
    <n v="0"/>
    <s v="Cornerstone Revenue"/>
    <m/>
    <n v="-147362.35999999999"/>
  </r>
  <r>
    <n v="46"/>
    <x v="3"/>
    <n v="10"/>
    <x v="15"/>
    <x v="22"/>
    <s v="000-4165-000"/>
    <n v="0"/>
    <n v="4165"/>
    <n v="0"/>
    <s v="Chapter 100 Bond Fees"/>
    <n v="-10000"/>
    <n v="0"/>
  </r>
  <r>
    <n v="47"/>
    <x v="3"/>
    <n v="10"/>
    <x v="17"/>
    <x v="23"/>
    <s v="000-4300-000"/>
    <n v="0"/>
    <n v="4300"/>
    <n v="0"/>
    <s v="Interest Income"/>
    <n v="-2515.96"/>
    <n v="-2173.9899999999998"/>
  </r>
  <r>
    <n v="279"/>
    <x v="3"/>
    <n v="80"/>
    <x v="15"/>
    <x v="16"/>
    <s v="080-4310-000"/>
    <n v="80"/>
    <n v="4310"/>
    <n v="0"/>
    <s v="Program Income"/>
    <n v="-105.37"/>
    <n v="0"/>
  </r>
  <r>
    <n v="286"/>
    <x v="3"/>
    <n v="80"/>
    <x v="14"/>
    <x v="15"/>
    <s v="119-4310-000"/>
    <n v="119"/>
    <n v="4310"/>
    <n v="0"/>
    <s v="Program Income"/>
    <n v="-17027.189999999999"/>
    <n v="0"/>
  </r>
  <r>
    <n v="48"/>
    <x v="3"/>
    <n v="10"/>
    <x v="15"/>
    <x v="16"/>
    <s v="000-4400-000"/>
    <n v="0"/>
    <n v="4400"/>
    <n v="0"/>
    <s v="Miscellaneous Income"/>
    <n v="-17260.02"/>
    <n v="0"/>
  </r>
  <r>
    <n v="49"/>
    <x v="3"/>
    <n v="10"/>
    <x v="15"/>
    <x v="24"/>
    <s v="000-4500-000"/>
    <n v="0"/>
    <n v="4500"/>
    <n v="0"/>
    <s v="Photocopy Recovery"/>
    <n v="-38895.51"/>
    <n v="-28575.759999999998"/>
  </r>
  <r>
    <n v="58"/>
    <x v="3"/>
    <n v="80"/>
    <x v="15"/>
    <x v="24"/>
    <s v="005-4500-000"/>
    <n v="5"/>
    <n v="4500"/>
    <n v="0"/>
    <s v="Photocopy Recovery"/>
    <n v="-95.4"/>
    <n v="0"/>
  </r>
  <r>
    <n v="260"/>
    <x v="3"/>
    <n v="60"/>
    <x v="15"/>
    <x v="24"/>
    <s v="060-4500-000"/>
    <n v="60"/>
    <n v="4500"/>
    <n v="0"/>
    <s v="Photocopy Recovery"/>
    <n v="-2325.4"/>
    <n v="0"/>
  </r>
  <r>
    <n v="280"/>
    <x v="3"/>
    <n v="80"/>
    <x v="15"/>
    <x v="24"/>
    <s v="080-4500-000"/>
    <n v="80"/>
    <n v="4500"/>
    <n v="0"/>
    <s v="Photocopy Recovery"/>
    <n v="-78.5"/>
    <n v="0"/>
  </r>
  <r>
    <n v="50"/>
    <x v="3"/>
    <n v="10"/>
    <x v="14"/>
    <x v="15"/>
    <s v="000-4540-000"/>
    <n v="0"/>
    <n v="4540"/>
    <n v="0"/>
    <s v="Unbilled Project Revenues"/>
    <n v="1471.53"/>
    <n v="0"/>
  </r>
  <r>
    <n v="51"/>
    <x v="3"/>
    <n v="10"/>
    <x v="15"/>
    <x v="24"/>
    <s v="000-4600-000"/>
    <n v="0"/>
    <n v="4600"/>
    <n v="0"/>
    <s v="Postage Recovery"/>
    <n v="-2295.8000000000002"/>
    <n v="-1833.61"/>
  </r>
  <r>
    <n v="59"/>
    <x v="3"/>
    <n v="80"/>
    <x v="15"/>
    <x v="24"/>
    <s v="005-4600-000"/>
    <n v="5"/>
    <n v="4600"/>
    <n v="0"/>
    <s v="Postage Recovery"/>
    <n v="-48.2"/>
    <n v="0"/>
  </r>
  <r>
    <n v="261"/>
    <x v="3"/>
    <n v="60"/>
    <x v="15"/>
    <x v="24"/>
    <s v="060-4600-000"/>
    <n v="60"/>
    <n v="4600"/>
    <n v="0"/>
    <s v="Postage Recovery"/>
    <n v="-331.49"/>
    <n v="0"/>
  </r>
  <r>
    <n v="281"/>
    <x v="3"/>
    <n v="80"/>
    <x v="15"/>
    <x v="24"/>
    <s v="080-4600-000"/>
    <n v="80"/>
    <n v="4600"/>
    <n v="0"/>
    <s v="Postage Recovery"/>
    <n v="-2.88"/>
    <n v="0"/>
  </r>
  <r>
    <n v="60"/>
    <x v="4"/>
    <n v="80"/>
    <x v="18"/>
    <x v="25"/>
    <s v="005-5010-000"/>
    <n v="5"/>
    <n v="5010"/>
    <n v="0"/>
    <s v="HEDFC Compensation"/>
    <n v="4352.84"/>
    <n v="0"/>
  </r>
  <r>
    <n v="74"/>
    <x v="4"/>
    <n v="10"/>
    <x v="18"/>
    <x v="25"/>
    <s v="010-5010-000"/>
    <n v="10"/>
    <n v="5010"/>
    <n v="0"/>
    <s v="Compensation"/>
    <n v="674475.06"/>
    <n v="275733.45"/>
  </r>
  <r>
    <n v="132"/>
    <x v="4"/>
    <n v="20"/>
    <x v="18"/>
    <x v="25"/>
    <s v="020-5010-000"/>
    <n v="20"/>
    <n v="5010"/>
    <n v="0"/>
    <s v="Compensation"/>
    <n v="343594.83"/>
    <n v="275287.61"/>
  </r>
  <r>
    <n v="150"/>
    <x v="0"/>
    <n v="25"/>
    <x v="19"/>
    <x v="26"/>
    <s v="025-5010-000"/>
    <n v="25"/>
    <n v="5010"/>
    <n v="0"/>
    <s v="Compensation"/>
    <n v="121081.59"/>
    <n v="49748.959999999999"/>
  </r>
  <r>
    <n v="151"/>
    <x v="0"/>
    <n v="25"/>
    <x v="19"/>
    <x v="26"/>
    <s v="025-5010-028"/>
    <n v="25"/>
    <n v="5010"/>
    <n v="28"/>
    <s v="Compensation-Contra"/>
    <m/>
    <n v="-24975.8"/>
  </r>
  <r>
    <n v="184"/>
    <x v="4"/>
    <n v="35"/>
    <x v="18"/>
    <x v="25"/>
    <s v="035-5010-000"/>
    <n v="35"/>
    <n v="5010"/>
    <n v="0"/>
    <s v="Compensation"/>
    <n v="787870.03"/>
    <n v="490153.03"/>
  </r>
  <r>
    <n v="211"/>
    <x v="4"/>
    <n v="36"/>
    <x v="18"/>
    <x v="25"/>
    <s v="036-5010-000"/>
    <n v="36"/>
    <n v="5010"/>
    <n v="0"/>
    <s v="Compensation"/>
    <n v="728.64"/>
    <n v="60307.63"/>
  </r>
  <r>
    <n v="236"/>
    <x v="4"/>
    <n v="40"/>
    <x v="18"/>
    <x v="25"/>
    <s v="040-5010-000"/>
    <n v="40"/>
    <n v="5010"/>
    <n v="0"/>
    <s v="Compensation"/>
    <n v="1453.21"/>
    <n v="0"/>
  </r>
  <r>
    <n v="245"/>
    <x v="4"/>
    <n v="45"/>
    <x v="18"/>
    <x v="25"/>
    <s v="045-5010-000"/>
    <n v="45"/>
    <n v="5010"/>
    <n v="0"/>
    <s v="Compensation"/>
    <n v="188033.45"/>
    <n v="146859.38"/>
  </r>
  <r>
    <n v="262"/>
    <x v="4"/>
    <n v="60"/>
    <x v="18"/>
    <x v="25"/>
    <s v="060-5010-000"/>
    <n v="60"/>
    <n v="5010"/>
    <n v="0"/>
    <s v="Compensation"/>
    <n v="201158.98"/>
    <n v="263393.25"/>
  </r>
  <r>
    <n v="61"/>
    <x v="4"/>
    <n v="80"/>
    <x v="18"/>
    <x v="25"/>
    <s v="005-5120-000"/>
    <n v="5"/>
    <n v="5120"/>
    <n v="0"/>
    <s v="HEDFC ER Tax Exp"/>
    <n v="353.08"/>
    <n v="0"/>
  </r>
  <r>
    <n v="75"/>
    <x v="4"/>
    <n v="10"/>
    <x v="18"/>
    <x v="25"/>
    <s v="010-5120-000"/>
    <n v="10"/>
    <n v="5120"/>
    <n v="0"/>
    <s v="Payroll Taxes-FICA/Medicare"/>
    <n v="47385.97"/>
    <n v="23492.31"/>
  </r>
  <r>
    <n v="133"/>
    <x v="4"/>
    <n v="20"/>
    <x v="18"/>
    <x v="25"/>
    <s v="020-5120-000"/>
    <n v="20"/>
    <n v="5120"/>
    <n v="0"/>
    <s v="Payroll Taxes-FICA Medicare"/>
    <n v="19325.330000000002"/>
    <n v="22265.64"/>
  </r>
  <r>
    <n v="152"/>
    <x v="0"/>
    <n v="25"/>
    <x v="19"/>
    <x v="26"/>
    <s v="025-5120-000"/>
    <n v="25"/>
    <n v="5120"/>
    <n v="0"/>
    <s v="Payroll Taxes-FICA Medicare"/>
    <n v="9103.3799999999992"/>
    <n v="3895.05"/>
  </r>
  <r>
    <n v="185"/>
    <x v="4"/>
    <n v="35"/>
    <x v="18"/>
    <x v="25"/>
    <s v="035-5120-000"/>
    <n v="35"/>
    <n v="5120"/>
    <n v="0"/>
    <s v="Payroll Taxes-FICA Medicare"/>
    <n v="53741.39"/>
    <n v="37550.42"/>
  </r>
  <r>
    <n v="212"/>
    <x v="4"/>
    <n v="36"/>
    <x v="18"/>
    <x v="25"/>
    <s v="036-5120-000"/>
    <n v="36"/>
    <n v="5120"/>
    <n v="0"/>
    <s v="Payroll Taxes-FICA Medicare"/>
    <n v="53.71"/>
    <n v="4481.79"/>
  </r>
  <r>
    <n v="237"/>
    <x v="4"/>
    <n v="40"/>
    <x v="18"/>
    <x v="25"/>
    <s v="040-5120-000"/>
    <n v="40"/>
    <n v="5120"/>
    <n v="0"/>
    <s v="Payroll Taxes-FICA Medicare"/>
    <n v="104.91"/>
    <n v="0"/>
  </r>
  <r>
    <n v="246"/>
    <x v="4"/>
    <n v="45"/>
    <x v="18"/>
    <x v="25"/>
    <s v="045-5120-000"/>
    <n v="45"/>
    <n v="5120"/>
    <n v="0"/>
    <s v="Payroll Taxes-FICA Medicare"/>
    <n v="13470.3"/>
    <n v="10786.08"/>
  </r>
  <r>
    <n v="263"/>
    <x v="4"/>
    <n v="60"/>
    <x v="18"/>
    <x v="25"/>
    <s v="060-5120-000"/>
    <n v="60"/>
    <n v="5120"/>
    <n v="0"/>
    <s v="Payroll Taxes-FICA Medicare"/>
    <n v="15303.47"/>
    <n v="19515.21"/>
  </r>
  <r>
    <n v="76"/>
    <x v="4"/>
    <n v="10"/>
    <x v="18"/>
    <x v="25"/>
    <s v="010-5130-000"/>
    <n v="10"/>
    <n v="5130"/>
    <n v="0"/>
    <s v="Unemployment Taxes - FUTA/SUTA"/>
    <n v="8074.26"/>
    <n v="4640.6099999999997"/>
  </r>
  <r>
    <n v="62"/>
    <x v="4"/>
    <n v="80"/>
    <x v="18"/>
    <x v="25"/>
    <s v="005-5200-000"/>
    <n v="5"/>
    <n v="5200"/>
    <n v="0"/>
    <s v="HEDFC Employee Parking"/>
    <n v="510"/>
    <n v="0"/>
  </r>
  <r>
    <n v="77"/>
    <x v="4"/>
    <n v="10"/>
    <x v="18"/>
    <x v="25"/>
    <s v="010-5200-000"/>
    <n v="10"/>
    <n v="5200"/>
    <n v="0"/>
    <s v="Employee Parking"/>
    <n v="15365.34"/>
    <n v="7331.14"/>
  </r>
  <r>
    <n v="134"/>
    <x v="4"/>
    <n v="20"/>
    <x v="18"/>
    <x v="25"/>
    <s v="020-5200-000"/>
    <n v="20"/>
    <n v="5200"/>
    <n v="0"/>
    <s v="Employee Parking"/>
    <n v="2705"/>
    <n v="2970"/>
  </r>
  <r>
    <n v="153"/>
    <x v="0"/>
    <n v="25"/>
    <x v="19"/>
    <x v="26"/>
    <s v="025-5200-000"/>
    <n v="25"/>
    <n v="5200"/>
    <n v="0"/>
    <s v="Employee Parking"/>
    <n v="2550"/>
    <n v="1859.75"/>
  </r>
  <r>
    <n v="186"/>
    <x v="4"/>
    <n v="35"/>
    <x v="18"/>
    <x v="25"/>
    <s v="035-5200-000"/>
    <n v="35"/>
    <n v="5200"/>
    <n v="0"/>
    <s v="Employee Parking"/>
    <n v="9407.5"/>
    <n v="9137.5"/>
  </r>
  <r>
    <n v="213"/>
    <x v="4"/>
    <n v="36"/>
    <x v="18"/>
    <x v="25"/>
    <s v="036-5200-000"/>
    <n v="36"/>
    <n v="5200"/>
    <n v="0"/>
    <s v="Employee Parking"/>
    <n v="170"/>
    <n v="1147.5"/>
  </r>
  <r>
    <n v="238"/>
    <x v="4"/>
    <n v="40"/>
    <x v="18"/>
    <x v="25"/>
    <s v="040-5200-000"/>
    <n v="40"/>
    <n v="5200"/>
    <n v="0"/>
    <s v="Employee Parking"/>
    <n v="255"/>
    <n v="0"/>
  </r>
  <r>
    <n v="247"/>
    <x v="4"/>
    <n v="45"/>
    <x v="18"/>
    <x v="25"/>
    <s v="045-5200-000"/>
    <n v="45"/>
    <n v="5200"/>
    <n v="0"/>
    <s v="Employee Parking"/>
    <n v="2725.2"/>
    <n v="2555.29"/>
  </r>
  <r>
    <n v="264"/>
    <x v="4"/>
    <n v="60"/>
    <x v="18"/>
    <x v="25"/>
    <s v="060-5200-000"/>
    <n v="60"/>
    <n v="5200"/>
    <n v="0"/>
    <s v="Employee Parking"/>
    <n v="1873.75"/>
    <n v="2525.94"/>
  </r>
  <r>
    <n v="63"/>
    <x v="4"/>
    <n v="80"/>
    <x v="18"/>
    <x v="25"/>
    <s v="005-5210-000"/>
    <n v="5"/>
    <n v="5210"/>
    <n v="0"/>
    <s v="HEDFC Medical Ins"/>
    <n v="7404.01"/>
    <n v="0"/>
  </r>
  <r>
    <n v="78"/>
    <x v="4"/>
    <n v="10"/>
    <x v="18"/>
    <x v="25"/>
    <s v="010-5210-000"/>
    <n v="10"/>
    <n v="5210"/>
    <n v="0"/>
    <s v="Medical Insurance"/>
    <n v="92962.07"/>
    <n v="29871.47"/>
  </r>
  <r>
    <n v="135"/>
    <x v="4"/>
    <n v="20"/>
    <x v="18"/>
    <x v="25"/>
    <s v="020-5210-000"/>
    <n v="20"/>
    <n v="5210"/>
    <n v="0"/>
    <s v="Medical Insurance"/>
    <n v="19069.669999999998"/>
    <n v="19788.62"/>
  </r>
  <r>
    <n v="154"/>
    <x v="0"/>
    <n v="25"/>
    <x v="19"/>
    <x v="26"/>
    <s v="025-5210-000"/>
    <n v="25"/>
    <n v="5210"/>
    <n v="0"/>
    <s v="Medical Insurance"/>
    <n v="26434.91"/>
    <n v="14042.64"/>
  </r>
  <r>
    <n v="187"/>
    <x v="4"/>
    <n v="35"/>
    <x v="18"/>
    <x v="25"/>
    <s v="035-5210-000"/>
    <n v="35"/>
    <n v="5210"/>
    <n v="0"/>
    <s v="Medical Insurance"/>
    <n v="87365.17"/>
    <n v="49519.19"/>
  </r>
  <r>
    <n v="214"/>
    <x v="4"/>
    <n v="36"/>
    <x v="18"/>
    <x v="25"/>
    <s v="036-5210-000"/>
    <n v="36"/>
    <n v="5210"/>
    <n v="0"/>
    <s v="Medical Insurance"/>
    <n v="1628.69"/>
    <n v="3855.54"/>
  </r>
  <r>
    <n v="239"/>
    <x v="4"/>
    <n v="40"/>
    <x v="18"/>
    <x v="25"/>
    <s v="040-5210-000"/>
    <n v="40"/>
    <n v="5210"/>
    <n v="0"/>
    <s v="Medical Insurance"/>
    <n v="4016.24"/>
    <n v="0"/>
  </r>
  <r>
    <n v="248"/>
    <x v="4"/>
    <n v="45"/>
    <x v="18"/>
    <x v="25"/>
    <s v="045-5210-000"/>
    <n v="45"/>
    <n v="5210"/>
    <n v="0"/>
    <s v="Medical Insurance"/>
    <n v="4638.93"/>
    <n v="6220.26"/>
  </r>
  <r>
    <n v="265"/>
    <x v="4"/>
    <n v="60"/>
    <x v="18"/>
    <x v="25"/>
    <s v="060-5210-000"/>
    <n v="60"/>
    <n v="5210"/>
    <n v="0"/>
    <s v="Medical Insurance"/>
    <n v="24997.81"/>
    <n v="21225.31"/>
  </r>
  <r>
    <n v="64"/>
    <x v="4"/>
    <n v="80"/>
    <x v="18"/>
    <x v="25"/>
    <s v="005-5220-000"/>
    <n v="5"/>
    <n v="5220"/>
    <n v="0"/>
    <s v="HEDFC Health Ins"/>
    <n v="175.31"/>
    <n v="0"/>
  </r>
  <r>
    <n v="79"/>
    <x v="4"/>
    <n v="10"/>
    <x v="18"/>
    <x v="25"/>
    <s v="010-5220-000"/>
    <n v="10"/>
    <n v="5220"/>
    <n v="0"/>
    <s v="Life Insurance"/>
    <n v="2881.11"/>
    <n v="2073.64"/>
  </r>
  <r>
    <n v="136"/>
    <x v="4"/>
    <n v="20"/>
    <x v="18"/>
    <x v="25"/>
    <s v="020-5220-000"/>
    <n v="20"/>
    <n v="5220"/>
    <n v="0"/>
    <s v="Life Insurance"/>
    <n v="585.11"/>
    <n v="582.20000000000005"/>
  </r>
  <r>
    <n v="155"/>
    <x v="0"/>
    <n v="25"/>
    <x v="19"/>
    <x v="26"/>
    <s v="025-5220-000"/>
    <n v="25"/>
    <n v="5220"/>
    <n v="0"/>
    <s v="Life Insurance"/>
    <n v="610.79"/>
    <n v="360.56"/>
  </r>
  <r>
    <n v="188"/>
    <x v="4"/>
    <n v="35"/>
    <x v="18"/>
    <x v="25"/>
    <s v="035-5220-000"/>
    <n v="35"/>
    <n v="5220"/>
    <n v="0"/>
    <s v="Life Insurance"/>
    <n v="3030.36"/>
    <n v="2188.4299999999998"/>
  </r>
  <r>
    <n v="215"/>
    <x v="4"/>
    <n v="36"/>
    <x v="18"/>
    <x v="25"/>
    <s v="036-5220-000"/>
    <n v="36"/>
    <n v="5220"/>
    <n v="0"/>
    <s v="Life Insurance"/>
    <n v="37.409999999999997"/>
    <n v="192"/>
  </r>
  <r>
    <n v="240"/>
    <x v="4"/>
    <n v="40"/>
    <x v="18"/>
    <x v="25"/>
    <s v="040-5220-000"/>
    <n v="40"/>
    <n v="5220"/>
    <n v="0"/>
    <s v="Life Insurance"/>
    <n v="50.4"/>
    <n v="0"/>
  </r>
  <r>
    <n v="249"/>
    <x v="4"/>
    <n v="45"/>
    <x v="18"/>
    <x v="25"/>
    <s v="045-5220-000"/>
    <n v="45"/>
    <n v="5220"/>
    <n v="0"/>
    <s v="Life Insurance"/>
    <n v="542.4"/>
    <n v="348"/>
  </r>
  <r>
    <n v="266"/>
    <x v="4"/>
    <n v="60"/>
    <x v="18"/>
    <x v="25"/>
    <s v="060-5220-000"/>
    <n v="60"/>
    <n v="5220"/>
    <n v="0"/>
    <s v="Life Insurance"/>
    <n v="813.23"/>
    <n v="549.92999999999995"/>
  </r>
  <r>
    <n v="65"/>
    <x v="4"/>
    <n v="80"/>
    <x v="18"/>
    <x v="25"/>
    <s v="005-5230-000"/>
    <n v="5"/>
    <n v="5230"/>
    <n v="0"/>
    <s v="HEDFC Dental Ins"/>
    <n v="568.62"/>
    <n v="0"/>
  </r>
  <r>
    <n v="80"/>
    <x v="4"/>
    <n v="10"/>
    <x v="18"/>
    <x v="25"/>
    <s v="010-5230-000"/>
    <n v="10"/>
    <n v="5230"/>
    <n v="0"/>
    <s v="Dental Insurance"/>
    <n v="5942.53"/>
    <n v="1887.85"/>
  </r>
  <r>
    <n v="137"/>
    <x v="4"/>
    <n v="20"/>
    <x v="18"/>
    <x v="25"/>
    <s v="020-5230-000"/>
    <n v="20"/>
    <n v="5230"/>
    <n v="0"/>
    <s v="Dental Insurance"/>
    <n v="1410.38"/>
    <n v="906.75"/>
  </r>
  <r>
    <n v="156"/>
    <x v="0"/>
    <n v="25"/>
    <x v="19"/>
    <x v="26"/>
    <s v="025-5230-000"/>
    <n v="25"/>
    <n v="5230"/>
    <n v="0"/>
    <s v="Dental Insurance"/>
    <n v="2876.03"/>
    <n v="1098.45"/>
  </r>
  <r>
    <n v="157"/>
    <x v="0"/>
    <n v="25"/>
    <x v="19"/>
    <x v="26"/>
    <s v="025-5230-028"/>
    <n v="25"/>
    <n v="5230"/>
    <n v="28"/>
    <s v="Continuing Education-Contra"/>
    <m/>
    <n v="0"/>
  </r>
  <r>
    <n v="189"/>
    <x v="4"/>
    <n v="35"/>
    <x v="18"/>
    <x v="25"/>
    <s v="035-5230-000"/>
    <n v="35"/>
    <n v="5230"/>
    <n v="0"/>
    <s v="Dental Insurance"/>
    <n v="6772.44"/>
    <n v="3437.45"/>
  </r>
  <r>
    <n v="216"/>
    <x v="4"/>
    <n v="36"/>
    <x v="18"/>
    <x v="25"/>
    <s v="036-5230-000"/>
    <n v="36"/>
    <n v="5230"/>
    <n v="0"/>
    <s v="Dental Insurance"/>
    <n v="132.03"/>
    <n v="179.7"/>
  </r>
  <r>
    <n v="241"/>
    <x v="4"/>
    <n v="40"/>
    <x v="18"/>
    <x v="25"/>
    <s v="040-5230-000"/>
    <n v="40"/>
    <n v="5230"/>
    <n v="0"/>
    <s v="Dental Insurance"/>
    <n v="375.84"/>
    <n v="0"/>
  </r>
  <r>
    <n v="250"/>
    <x v="4"/>
    <n v="45"/>
    <x v="18"/>
    <x v="25"/>
    <s v="045-5230-000"/>
    <n v="45"/>
    <n v="5230"/>
    <n v="0"/>
    <s v="Dental Insurance"/>
    <n v="971.78"/>
    <n v="368.55"/>
  </r>
  <r>
    <n v="267"/>
    <x v="4"/>
    <n v="60"/>
    <x v="18"/>
    <x v="25"/>
    <s v="060-5230-000"/>
    <n v="60"/>
    <n v="5230"/>
    <n v="0"/>
    <s v="Dental Insurance"/>
    <n v="1876.22"/>
    <n v="1315.4"/>
  </r>
  <r>
    <n v="66"/>
    <x v="4"/>
    <n v="80"/>
    <x v="18"/>
    <x v="25"/>
    <s v="005-5240-000"/>
    <n v="5"/>
    <n v="5240"/>
    <n v="0"/>
    <s v="Dental Ins"/>
    <n v="110.17"/>
    <n v="0"/>
  </r>
  <r>
    <n v="81"/>
    <x v="4"/>
    <n v="10"/>
    <x v="18"/>
    <x v="25"/>
    <s v="010-5240-000"/>
    <n v="10"/>
    <n v="5240"/>
    <n v="0"/>
    <s v="Vision Insurance"/>
    <n v="3353.45"/>
    <n v="1029.1400000000001"/>
  </r>
  <r>
    <n v="138"/>
    <x v="4"/>
    <n v="20"/>
    <x v="18"/>
    <x v="25"/>
    <s v="020-5240-000"/>
    <n v="20"/>
    <n v="5240"/>
    <n v="0"/>
    <s v="Vision Insurance"/>
    <n v="378.35"/>
    <n v="442.35"/>
  </r>
  <r>
    <n v="158"/>
    <x v="0"/>
    <n v="25"/>
    <x v="19"/>
    <x v="26"/>
    <s v="025-5240-000"/>
    <n v="25"/>
    <n v="5240"/>
    <n v="0"/>
    <s v="Vision Insurance"/>
    <n v="456.98"/>
    <n v="253.5"/>
  </r>
  <r>
    <n v="190"/>
    <x v="4"/>
    <n v="35"/>
    <x v="18"/>
    <x v="25"/>
    <s v="035-5240-000"/>
    <n v="35"/>
    <n v="5240"/>
    <n v="0"/>
    <s v="Vision Insurance"/>
    <n v="1387.65"/>
    <n v="1369.48"/>
  </r>
  <r>
    <n v="217"/>
    <x v="4"/>
    <n v="36"/>
    <x v="18"/>
    <x v="25"/>
    <s v="036-5240-000"/>
    <n v="36"/>
    <n v="5240"/>
    <n v="0"/>
    <s v="Vision Insurance"/>
    <n v="31.49"/>
    <n v="107.87"/>
  </r>
  <r>
    <n v="242"/>
    <x v="4"/>
    <n v="40"/>
    <x v="18"/>
    <x v="25"/>
    <s v="040-5240-000"/>
    <n v="40"/>
    <n v="5240"/>
    <n v="0"/>
    <s v="Vision Insurance"/>
    <n v="109.89"/>
    <n v="0"/>
  </r>
  <r>
    <n v="251"/>
    <x v="4"/>
    <n v="45"/>
    <x v="18"/>
    <x v="25"/>
    <s v="045-5240-000"/>
    <n v="45"/>
    <n v="5240"/>
    <n v="0"/>
    <s v="Vision Insurance"/>
    <n v="-126.98"/>
    <n v="-80.099999999999994"/>
  </r>
  <r>
    <n v="268"/>
    <x v="4"/>
    <n v="60"/>
    <x v="18"/>
    <x v="25"/>
    <s v="060-5240-000"/>
    <n v="60"/>
    <n v="5240"/>
    <n v="0"/>
    <s v="Vision Insurance"/>
    <n v="463.91"/>
    <n v="543.79999999999995"/>
  </r>
  <r>
    <n v="67"/>
    <x v="4"/>
    <n v="80"/>
    <x v="18"/>
    <x v="25"/>
    <s v="005-5250-000"/>
    <n v="5"/>
    <n v="5250"/>
    <n v="0"/>
    <s v="HEDFC Life Insurance"/>
    <n v="324.7"/>
    <n v="0"/>
  </r>
  <r>
    <n v="82"/>
    <x v="4"/>
    <n v="10"/>
    <x v="18"/>
    <x v="25"/>
    <s v="010-5250-000"/>
    <n v="10"/>
    <n v="5250"/>
    <n v="0"/>
    <s v="Disability Insurance"/>
    <n v="8503.9599999999991"/>
    <n v="5646.32"/>
  </r>
  <r>
    <n v="139"/>
    <x v="4"/>
    <n v="20"/>
    <x v="18"/>
    <x v="25"/>
    <s v="020-5250-000"/>
    <n v="20"/>
    <n v="5250"/>
    <n v="0"/>
    <s v="Disability Insurance"/>
    <n v="2166.7600000000002"/>
    <n v="3012.04"/>
  </r>
  <r>
    <n v="159"/>
    <x v="0"/>
    <n v="25"/>
    <x v="19"/>
    <x v="26"/>
    <s v="025-5250-000"/>
    <n v="25"/>
    <n v="5250"/>
    <n v="0"/>
    <s v="Disability Insurance"/>
    <n v="1605.29"/>
    <n v="851.72"/>
  </r>
  <r>
    <n v="191"/>
    <x v="4"/>
    <n v="35"/>
    <x v="18"/>
    <x v="25"/>
    <s v="035-5250-000"/>
    <n v="35"/>
    <n v="5250"/>
    <n v="0"/>
    <s v="Disability Insurance"/>
    <n v="8893.75"/>
    <n v="6501.04"/>
  </r>
  <r>
    <n v="218"/>
    <x v="4"/>
    <n v="36"/>
    <x v="18"/>
    <x v="25"/>
    <s v="036-5250-000"/>
    <n v="36"/>
    <n v="5250"/>
    <n v="0"/>
    <s v="Disability Insurance"/>
    <n v="96.77"/>
    <n v="693.98"/>
  </r>
  <r>
    <n v="243"/>
    <x v="4"/>
    <n v="40"/>
    <x v="18"/>
    <x v="25"/>
    <s v="040-5250-000"/>
    <n v="40"/>
    <n v="5250"/>
    <n v="0"/>
    <s v="Disability Insurance"/>
    <n v="201.01"/>
    <n v="0"/>
  </r>
  <r>
    <n v="252"/>
    <x v="4"/>
    <n v="45"/>
    <x v="18"/>
    <x v="25"/>
    <s v="045-5250-000"/>
    <n v="45"/>
    <n v="5250"/>
    <n v="0"/>
    <s v="Disability Insurance"/>
    <n v="1280.28"/>
    <n v="1218.8900000000001"/>
  </r>
  <r>
    <n v="269"/>
    <x v="4"/>
    <n v="60"/>
    <x v="18"/>
    <x v="25"/>
    <s v="060-5250-000"/>
    <n v="60"/>
    <n v="5250"/>
    <n v="0"/>
    <s v="Disability Insurance"/>
    <n v="2236.8000000000002"/>
    <n v="2381.42"/>
  </r>
  <r>
    <n v="68"/>
    <x v="4"/>
    <n v="80"/>
    <x v="18"/>
    <x v="25"/>
    <s v="005-5270-000"/>
    <n v="5"/>
    <n v="5270"/>
    <n v="0"/>
    <s v="HEDFC 401k Contr Admin"/>
    <n v="424.38"/>
    <n v="0"/>
  </r>
  <r>
    <n v="83"/>
    <x v="4"/>
    <n v="10"/>
    <x v="18"/>
    <x v="25"/>
    <s v="010-5270-000"/>
    <n v="10"/>
    <n v="5270"/>
    <n v="0"/>
    <s v="401K Contribution"/>
    <n v="13573.67"/>
    <n v="17488.310000000001"/>
  </r>
  <r>
    <n v="140"/>
    <x v="4"/>
    <n v="20"/>
    <x v="18"/>
    <x v="25"/>
    <s v="020-5270-000"/>
    <n v="20"/>
    <n v="5270"/>
    <n v="0"/>
    <s v="401K Contribution"/>
    <n v="14040.15"/>
    <n v="22512.23"/>
  </r>
  <r>
    <n v="160"/>
    <x v="0"/>
    <n v="25"/>
    <x v="19"/>
    <x v="26"/>
    <s v="025-5270-000"/>
    <n v="25"/>
    <n v="5270"/>
    <n v="0"/>
    <s v="401K Contribution"/>
    <n v="12796.07"/>
    <n v="3897.1"/>
  </r>
  <r>
    <n v="192"/>
    <x v="4"/>
    <n v="35"/>
    <x v="18"/>
    <x v="25"/>
    <s v="035-5270-000"/>
    <n v="35"/>
    <n v="5270"/>
    <n v="0"/>
    <s v="401K Contribution"/>
    <n v="56284.21"/>
    <n v="36838.74"/>
  </r>
  <r>
    <n v="219"/>
    <x v="4"/>
    <n v="36"/>
    <x v="18"/>
    <x v="25"/>
    <s v="036-5270-000"/>
    <n v="36"/>
    <n v="5270"/>
    <n v="0"/>
    <s v="401K Contribution"/>
    <n v="65.62"/>
    <n v="5863.16"/>
  </r>
  <r>
    <n v="244"/>
    <x v="4"/>
    <n v="40"/>
    <x v="18"/>
    <x v="25"/>
    <s v="040-5270-000"/>
    <n v="40"/>
    <n v="5270"/>
    <n v="0"/>
    <s v="401K Contribution"/>
    <n v="93.07"/>
    <n v="0"/>
  </r>
  <r>
    <n v="253"/>
    <x v="4"/>
    <n v="45"/>
    <x v="18"/>
    <x v="25"/>
    <s v="045-5270-000"/>
    <n v="45"/>
    <n v="5270"/>
    <n v="0"/>
    <s v="401K Contribution"/>
    <n v="16923.53"/>
    <n v="8469.2199999999993"/>
  </r>
  <r>
    <n v="270"/>
    <x v="4"/>
    <n v="60"/>
    <x v="18"/>
    <x v="25"/>
    <s v="060-5270-000"/>
    <n v="60"/>
    <n v="5270"/>
    <n v="0"/>
    <s v="401K Contribution"/>
    <n v="18944.03"/>
    <n v="23104.66"/>
  </r>
  <r>
    <n v="161"/>
    <x v="0"/>
    <n v="25"/>
    <x v="19"/>
    <x v="26"/>
    <s v="025-5280-000"/>
    <n v="25"/>
    <n v="5280"/>
    <n v="0"/>
    <s v="Compensation Contra"/>
    <m/>
    <n v="-51031.93"/>
  </r>
  <r>
    <n v="69"/>
    <x v="4"/>
    <n v="80"/>
    <x v="20"/>
    <x v="27"/>
    <s v="005-5300-000"/>
    <n v="5"/>
    <n v="5300"/>
    <n v="0"/>
    <s v="HEDFC-Travel Expense"/>
    <n v="139.32"/>
    <n v="0"/>
  </r>
  <r>
    <n v="84"/>
    <x v="4"/>
    <n v="10"/>
    <x v="20"/>
    <x v="27"/>
    <s v="010-5300-000"/>
    <n v="10"/>
    <n v="5300"/>
    <n v="0"/>
    <s v="Travel &amp; Entertainment"/>
    <n v="10159.469999999999"/>
    <n v="3946.97"/>
  </r>
  <r>
    <n v="141"/>
    <x v="4"/>
    <n v="20"/>
    <x v="20"/>
    <x v="27"/>
    <s v="020-5300-000"/>
    <n v="20"/>
    <n v="5300"/>
    <n v="0"/>
    <s v="Travel &amp; Entertainment"/>
    <n v="3757.18"/>
    <n v="151.54"/>
  </r>
  <r>
    <n v="162"/>
    <x v="0"/>
    <n v="25"/>
    <x v="19"/>
    <x v="26"/>
    <s v="025-5300-000"/>
    <n v="25"/>
    <n v="5300"/>
    <n v="0"/>
    <s v="Travel &amp; Entertainment"/>
    <n v="2522.1799999999998"/>
    <n v="159"/>
  </r>
  <r>
    <n v="163"/>
    <x v="0"/>
    <n v="25"/>
    <x v="19"/>
    <x v="26"/>
    <s v="025-5300-028"/>
    <n v="25"/>
    <n v="5300"/>
    <n v="28"/>
    <s v="Travel &amp; Entertainment-Contra"/>
    <m/>
    <n v="-159"/>
  </r>
  <r>
    <n v="193"/>
    <x v="4"/>
    <n v="35"/>
    <x v="20"/>
    <x v="27"/>
    <s v="035-5300-000"/>
    <n v="35"/>
    <n v="5300"/>
    <n v="0"/>
    <s v="Travel &amp; Entertainment"/>
    <n v="20286.16"/>
    <n v="19984.25"/>
  </r>
  <r>
    <n v="220"/>
    <x v="4"/>
    <n v="0"/>
    <x v="20"/>
    <x v="27"/>
    <s v="036-5300-000"/>
    <n v="36"/>
    <n v="5300"/>
    <n v="0"/>
    <s v="Travel &amp; Entertainment"/>
    <m/>
    <n v="15744.57"/>
  </r>
  <r>
    <n v="254"/>
    <x v="4"/>
    <n v="45"/>
    <x v="20"/>
    <x v="27"/>
    <s v="045-5300-000"/>
    <n v="45"/>
    <n v="5300"/>
    <n v="0"/>
    <s v="Travel &amp; Entertainment"/>
    <n v="81.12"/>
    <n v="0"/>
  </r>
  <r>
    <n v="271"/>
    <x v="4"/>
    <n v="60"/>
    <x v="20"/>
    <x v="27"/>
    <s v="060-5300-000"/>
    <n v="60"/>
    <n v="5300"/>
    <n v="0"/>
    <s v="Travel &amp; Entertainment"/>
    <m/>
    <n v="254.66"/>
  </r>
  <r>
    <n v="85"/>
    <x v="4"/>
    <n v="10"/>
    <x v="21"/>
    <x v="28"/>
    <s v="010-5310-000"/>
    <n v="10"/>
    <n v="5310"/>
    <n v="0"/>
    <s v="Professional Activities"/>
    <n v="6927.96"/>
    <n v="6173.44"/>
  </r>
  <r>
    <n v="142"/>
    <x v="4"/>
    <n v="20"/>
    <x v="21"/>
    <x v="28"/>
    <s v="020-5310-000"/>
    <n v="20"/>
    <n v="5310"/>
    <n v="0"/>
    <s v="Professional Activities"/>
    <n v="4156.1000000000004"/>
    <n v="1500"/>
  </r>
  <r>
    <n v="164"/>
    <x v="0"/>
    <n v="25"/>
    <x v="19"/>
    <x v="26"/>
    <s v="025-5310-000"/>
    <n v="25"/>
    <n v="5310"/>
    <n v="0"/>
    <s v="Professional Activities"/>
    <n v="1245"/>
    <n v="0"/>
  </r>
  <r>
    <n v="194"/>
    <x v="4"/>
    <n v="35"/>
    <x v="21"/>
    <x v="28"/>
    <s v="035-5310-000"/>
    <n v="35"/>
    <n v="5310"/>
    <n v="0"/>
    <s v="Professional Activities"/>
    <n v="22137.21"/>
    <n v="7517.1"/>
  </r>
  <r>
    <n v="221"/>
    <x v="4"/>
    <n v="0"/>
    <x v="21"/>
    <x v="28"/>
    <s v="036-5310-000"/>
    <n v="36"/>
    <n v="5310"/>
    <n v="0"/>
    <s v="Professional Activities"/>
    <m/>
    <n v="609"/>
  </r>
  <r>
    <n v="86"/>
    <x v="4"/>
    <n v="10"/>
    <x v="21"/>
    <x v="28"/>
    <s v="010-5320-000"/>
    <n v="10"/>
    <n v="5320"/>
    <n v="0"/>
    <s v="Continuing Education"/>
    <n v="31.9"/>
    <n v="687"/>
  </r>
  <r>
    <n v="143"/>
    <x v="4"/>
    <n v="20"/>
    <x v="21"/>
    <x v="28"/>
    <s v="020-5320-000"/>
    <n v="20"/>
    <n v="5320"/>
    <n v="0"/>
    <s v="Continuing Education"/>
    <n v="99"/>
    <n v="0"/>
  </r>
  <r>
    <n v="165"/>
    <x v="0"/>
    <n v="25"/>
    <x v="19"/>
    <x v="26"/>
    <s v="025-5320-000"/>
    <n v="25"/>
    <n v="5320"/>
    <n v="0"/>
    <s v="Continuing Education"/>
    <m/>
    <n v="1438.4"/>
  </r>
  <r>
    <n v="166"/>
    <x v="0"/>
    <n v="25"/>
    <x v="19"/>
    <x v="26"/>
    <s v="025-5320-028"/>
    <n v="25"/>
    <n v="5320"/>
    <n v="28"/>
    <s v="Continuing Education-Contra"/>
    <m/>
    <n v="-1438.4"/>
  </r>
  <r>
    <n v="195"/>
    <x v="4"/>
    <n v="35"/>
    <x v="21"/>
    <x v="28"/>
    <s v="035-5320-000"/>
    <n v="35"/>
    <n v="5320"/>
    <n v="0"/>
    <s v="Continuing Education"/>
    <n v="10820.38"/>
    <n v="7631"/>
  </r>
  <r>
    <n v="222"/>
    <x v="4"/>
    <n v="0"/>
    <x v="21"/>
    <x v="28"/>
    <s v="036-5320-000"/>
    <n v="36"/>
    <n v="5320"/>
    <n v="0"/>
    <s v="Continuing Education"/>
    <m/>
    <n v="699"/>
  </r>
  <r>
    <n v="87"/>
    <x v="4"/>
    <n v="10"/>
    <x v="22"/>
    <x v="29"/>
    <s v="010-5330-000"/>
    <n v="10"/>
    <n v="5330"/>
    <n v="0"/>
    <s v="Membership Dues"/>
    <n v="7127.5"/>
    <n v="3406"/>
  </r>
  <r>
    <n v="144"/>
    <x v="4"/>
    <n v="20"/>
    <x v="22"/>
    <x v="29"/>
    <s v="020-5330-000"/>
    <n v="20"/>
    <n v="5330"/>
    <n v="0"/>
    <s v="Membership Dues"/>
    <n v="6072.89"/>
    <n v="150"/>
  </r>
  <r>
    <n v="196"/>
    <x v="4"/>
    <n v="35"/>
    <x v="22"/>
    <x v="29"/>
    <s v="035-5330-000"/>
    <n v="35"/>
    <n v="5330"/>
    <n v="0"/>
    <s v="Membership Dues"/>
    <n v="2946.34"/>
    <n v="12456.67"/>
  </r>
  <r>
    <n v="223"/>
    <x v="4"/>
    <n v="0"/>
    <x v="22"/>
    <x v="29"/>
    <s v="036-5330-000"/>
    <n v="36"/>
    <n v="5330"/>
    <n v="0"/>
    <s v="Membership Dues"/>
    <m/>
    <n v="210"/>
  </r>
  <r>
    <n v="145"/>
    <x v="4"/>
    <n v="0"/>
    <x v="23"/>
    <x v="30"/>
    <s v="020-5331-000"/>
    <n v="20"/>
    <n v="5331"/>
    <n v="0"/>
    <s v="KCADC Membership"/>
    <m/>
    <n v="200000"/>
  </r>
  <r>
    <n v="88"/>
    <x v="4"/>
    <n v="10"/>
    <x v="22"/>
    <x v="29"/>
    <s v="010-5340-000"/>
    <n v="10"/>
    <n v="5340"/>
    <n v="0"/>
    <s v="Subscriptions"/>
    <n v="3989.22"/>
    <n v="1968.72"/>
  </r>
  <r>
    <n v="146"/>
    <x v="4"/>
    <n v="20"/>
    <x v="22"/>
    <x v="29"/>
    <s v="020-5340-000"/>
    <n v="20"/>
    <n v="5340"/>
    <n v="0"/>
    <s v="Subscriptions"/>
    <n v="65.959999999999994"/>
    <n v="0"/>
  </r>
  <r>
    <n v="197"/>
    <x v="4"/>
    <n v="35"/>
    <x v="22"/>
    <x v="29"/>
    <s v="035-5340-000"/>
    <n v="35"/>
    <n v="5340"/>
    <n v="0"/>
    <s v="Subscriptions"/>
    <n v="2389.96"/>
    <n v="4064"/>
  </r>
  <r>
    <n v="198"/>
    <x v="4"/>
    <n v="35"/>
    <x v="24"/>
    <x v="31"/>
    <s v="035-5345-000"/>
    <n v="35"/>
    <n v="5345"/>
    <n v="0"/>
    <s v="Business Development Surveys"/>
    <n v="8100"/>
    <n v="138.75"/>
  </r>
  <r>
    <n v="52"/>
    <x v="4"/>
    <n v="20"/>
    <x v="25"/>
    <x v="32"/>
    <s v="000-5350-000"/>
    <n v="0"/>
    <n v="5350"/>
    <n v="0"/>
    <s v="Advertising/Marketing"/>
    <n v="802.02"/>
    <n v="0"/>
  </r>
  <r>
    <n v="89"/>
    <x v="4"/>
    <n v="10"/>
    <x v="25"/>
    <x v="32"/>
    <s v="010-5350-000"/>
    <n v="10"/>
    <n v="5350"/>
    <n v="0"/>
    <s v="Advertising/Marketing"/>
    <n v="131356.5"/>
    <n v="70110"/>
  </r>
  <r>
    <n v="128"/>
    <x v="4"/>
    <n v="11"/>
    <x v="25"/>
    <x v="32"/>
    <s v="011-5350-000"/>
    <n v="11"/>
    <n v="5350"/>
    <n v="0"/>
    <s v="Cornerstone- - Advertising/Marketing"/>
    <m/>
    <n v="1000"/>
  </r>
  <r>
    <n v="199"/>
    <x v="4"/>
    <n v="35"/>
    <x v="25"/>
    <x v="32"/>
    <s v="035-5350-000"/>
    <n v="35"/>
    <n v="5350"/>
    <n v="0"/>
    <s v="Advertising/Marketing"/>
    <n v="34607.78"/>
    <n v="2197"/>
  </r>
  <r>
    <n v="224"/>
    <x v="4"/>
    <n v="0"/>
    <x v="25"/>
    <x v="32"/>
    <s v="036-5350-000"/>
    <n v="36"/>
    <n v="5350"/>
    <n v="0"/>
    <s v="Advertising/Marketing"/>
    <m/>
    <n v="1971"/>
  </r>
  <r>
    <n v="90"/>
    <x v="4"/>
    <n v="10"/>
    <x v="25"/>
    <x v="32"/>
    <s v="010-5351-000"/>
    <n v="10"/>
    <n v="5351"/>
    <n v="0"/>
    <s v="Launch KC Advertising/Marketing"/>
    <n v="20333.37"/>
    <n v="0"/>
  </r>
  <r>
    <n v="200"/>
    <x v="4"/>
    <n v="0"/>
    <x v="25"/>
    <x v="32"/>
    <s v="035-5351-000"/>
    <n v="35"/>
    <n v="5351"/>
    <n v="0"/>
    <s v="Business Development-Launch KC Advertising Market"/>
    <m/>
    <n v="0"/>
  </r>
  <r>
    <n v="234"/>
    <x v="4"/>
    <n v="0"/>
    <x v="25"/>
    <x v="32"/>
    <s v="037-5351-000"/>
    <n v="37"/>
    <n v="5351"/>
    <n v="0"/>
    <s v="Launch KC- Advertising/Marketing"/>
    <m/>
    <n v="49834.720000000001"/>
  </r>
  <r>
    <n v="167"/>
    <x v="4"/>
    <n v="25"/>
    <x v="26"/>
    <x v="33"/>
    <s v="025-5352-000"/>
    <n v="25"/>
    <n v="5352"/>
    <n v="0"/>
    <s v="Contribution to EDC Loan"/>
    <m/>
    <n v="67500"/>
  </r>
  <r>
    <n v="53"/>
    <x v="4"/>
    <n v="20"/>
    <x v="27"/>
    <x v="34"/>
    <s v="000-5399-000"/>
    <n v="0"/>
    <n v="5399"/>
    <n v="0"/>
    <s v="Miscellaneous Expenses"/>
    <n v="-100.6"/>
    <n v="109.44"/>
  </r>
  <r>
    <n v="70"/>
    <x v="4"/>
    <n v="80"/>
    <x v="28"/>
    <x v="35"/>
    <s v="005-5399-000"/>
    <n v="5"/>
    <n v="5399"/>
    <n v="0"/>
    <s v="HEDFC Misc Exp"/>
    <n v="42"/>
    <n v="0"/>
  </r>
  <r>
    <n v="91"/>
    <x v="4"/>
    <n v="10"/>
    <x v="27"/>
    <x v="34"/>
    <s v="010-5399-000"/>
    <n v="10"/>
    <n v="5399"/>
    <n v="0"/>
    <s v="Miscellaneous Expenses"/>
    <n v="1575.52"/>
    <n v="4712.4399999999996"/>
  </r>
  <r>
    <n v="282"/>
    <x v="4"/>
    <n v="0"/>
    <x v="29"/>
    <x v="35"/>
    <s v="080-5405-000"/>
    <n v="80"/>
    <n v="5405"/>
    <n v="0"/>
    <s v="Miscellaneous Admin Expense - NSP"/>
    <m/>
    <n v="1273.9100000000001"/>
  </r>
  <r>
    <n v="92"/>
    <x v="4"/>
    <n v="10"/>
    <x v="30"/>
    <x v="36"/>
    <s v="010-6010-000"/>
    <n v="10"/>
    <n v="6010"/>
    <n v="0"/>
    <s v="Office Supplies"/>
    <n v="47039.34"/>
    <n v="34051.129999999997"/>
  </r>
  <r>
    <n v="147"/>
    <x v="4"/>
    <n v="20"/>
    <x v="30"/>
    <x v="36"/>
    <s v="020-6010-000"/>
    <n v="20"/>
    <n v="6010"/>
    <n v="0"/>
    <s v="Film - Supplies"/>
    <n v="130"/>
    <n v="0"/>
  </r>
  <r>
    <n v="168"/>
    <x v="0"/>
    <n v="25"/>
    <x v="19"/>
    <x v="26"/>
    <s v="025-6010-000"/>
    <n v="25"/>
    <n v="6010"/>
    <n v="0"/>
    <s v="Loan Corp- - Office Supplies &amp; Expense"/>
    <m/>
    <n v="118.82"/>
  </r>
  <r>
    <n v="169"/>
    <x v="0"/>
    <n v="25"/>
    <x v="19"/>
    <x v="26"/>
    <s v="025-6010-028"/>
    <n v="25"/>
    <n v="6010"/>
    <n v="28"/>
    <s v="Office Supplies-Contra"/>
    <m/>
    <n v="-118.82"/>
  </r>
  <r>
    <n v="201"/>
    <x v="4"/>
    <n v="35"/>
    <x v="30"/>
    <x v="36"/>
    <s v="035-6010-000"/>
    <n v="35"/>
    <n v="6010"/>
    <n v="0"/>
    <s v="Office Supplies"/>
    <n v="529.08000000000004"/>
    <n v="1600.71"/>
  </r>
  <r>
    <n v="225"/>
    <x v="4"/>
    <n v="0"/>
    <x v="30"/>
    <x v="36"/>
    <s v="036-6010-000"/>
    <n v="36"/>
    <n v="6010"/>
    <n v="0"/>
    <s v="Office Supplies"/>
    <m/>
    <n v="420.29"/>
  </r>
  <r>
    <n v="255"/>
    <x v="4"/>
    <n v="0"/>
    <x v="30"/>
    <x v="36"/>
    <s v="045-6010-000"/>
    <n v="45"/>
    <n v="6010"/>
    <n v="0"/>
    <s v="LCRA- - Office Supplies"/>
    <m/>
    <n v="27.95"/>
  </r>
  <r>
    <n v="273"/>
    <x v="4"/>
    <n v="60"/>
    <x v="30"/>
    <x v="36"/>
    <s v="060-6010-000"/>
    <n v="60"/>
    <n v="6010"/>
    <n v="0"/>
    <s v="TIF Commission- - Office Supplies"/>
    <n v="118.2"/>
    <n v="117.14"/>
  </r>
  <r>
    <n v="283"/>
    <x v="4"/>
    <n v="80"/>
    <x v="28"/>
    <x v="35"/>
    <s v="080-6010-000"/>
    <n v="80"/>
    <n v="6010"/>
    <n v="0"/>
    <s v="Office Supplies"/>
    <n v="183.1"/>
    <n v="0"/>
  </r>
  <r>
    <n v="93"/>
    <x v="4"/>
    <n v="10"/>
    <x v="31"/>
    <x v="37"/>
    <s v="010-6020-000"/>
    <n v="10"/>
    <n v="6020"/>
    <n v="0"/>
    <s v="Temporary Service"/>
    <n v="100272.86"/>
    <n v="5336.77"/>
  </r>
  <r>
    <n v="170"/>
    <x v="0"/>
    <n v="25"/>
    <x v="19"/>
    <x v="26"/>
    <s v="025-6020-000"/>
    <n v="25"/>
    <n v="6020"/>
    <n v="0"/>
    <s v="Temporary Services"/>
    <n v="43839.77"/>
    <n v="40888.86"/>
  </r>
  <r>
    <n v="171"/>
    <x v="0"/>
    <n v="25"/>
    <x v="19"/>
    <x v="26"/>
    <s v="025-6020-028"/>
    <n v="25"/>
    <n v="6020"/>
    <n v="28"/>
    <s v="Temporary Services-Contra"/>
    <m/>
    <n v="-40888.86"/>
  </r>
  <r>
    <n v="226"/>
    <x v="4"/>
    <n v="36"/>
    <x v="31"/>
    <x v="37"/>
    <s v="036-6020-000"/>
    <n v="36"/>
    <n v="6020"/>
    <n v="0"/>
    <s v="Temporary Service"/>
    <m/>
    <n v="19177.5"/>
  </r>
  <r>
    <n v="278"/>
    <x v="4"/>
    <n v="10"/>
    <x v="27"/>
    <x v="34"/>
    <s v="070-6021-000"/>
    <n v="70"/>
    <n v="6021"/>
    <n v="0"/>
    <s v="Contribution to related party"/>
    <m/>
    <n v="0"/>
  </r>
  <r>
    <n v="94"/>
    <x v="4"/>
    <n v="10"/>
    <x v="32"/>
    <x v="38"/>
    <s v="010-6025-000"/>
    <n v="10"/>
    <n v="6025"/>
    <n v="0"/>
    <s v="Computer equipment &amp; software"/>
    <n v="6243.9"/>
    <n v="2541.21"/>
  </r>
  <r>
    <n v="202"/>
    <x v="4"/>
    <n v="35"/>
    <x v="32"/>
    <x v="38"/>
    <s v="035-6025-000"/>
    <n v="35"/>
    <n v="6025"/>
    <n v="0"/>
    <s v="Business Development- - Computer Equip &amp; Software"/>
    <m/>
    <n v="395"/>
  </r>
  <r>
    <n v="227"/>
    <x v="4"/>
    <n v="0"/>
    <x v="32"/>
    <x v="38"/>
    <s v="036-6025-000"/>
    <n v="36"/>
    <n v="6025"/>
    <n v="0"/>
    <s v="Computer Equipment &amp; Software"/>
    <m/>
    <n v="327.55"/>
  </r>
  <r>
    <n v="54"/>
    <x v="4"/>
    <n v="20"/>
    <x v="33"/>
    <x v="39"/>
    <s v="000-6040-000"/>
    <n v="0"/>
    <n v="6040"/>
    <n v="0"/>
    <s v="Contribution Exp"/>
    <n v="8100"/>
    <n v="-1800"/>
  </r>
  <r>
    <n v="95"/>
    <x v="4"/>
    <n v="10"/>
    <x v="33"/>
    <x v="39"/>
    <s v="010-6040-000"/>
    <n v="10"/>
    <n v="6040"/>
    <n v="0"/>
    <s v="Contribution Expense"/>
    <n v="750"/>
    <n v="12117.98"/>
  </r>
  <r>
    <n v="203"/>
    <x v="4"/>
    <n v="35"/>
    <x v="33"/>
    <x v="39"/>
    <s v="035-6040-000"/>
    <n v="35"/>
    <n v="6040"/>
    <n v="0"/>
    <s v="Contributions and Sponsorships"/>
    <n v="48712.99"/>
    <n v="23800"/>
  </r>
  <r>
    <n v="235"/>
    <x v="4"/>
    <n v="37"/>
    <x v="33"/>
    <x v="39"/>
    <s v="037-6040-000"/>
    <n v="37"/>
    <n v="6040"/>
    <n v="0"/>
    <s v="Launch KC- - Contribution and Sponsorship"/>
    <m/>
    <n v="4000"/>
  </r>
  <r>
    <n v="96"/>
    <x v="4"/>
    <n v="10"/>
    <x v="34"/>
    <x v="40"/>
    <s v="010-6100-000"/>
    <n v="10"/>
    <n v="6100"/>
    <n v="0"/>
    <s v="Equipment Leases - Copiers"/>
    <n v="51373.93"/>
    <n v="43755.89"/>
  </r>
  <r>
    <n v="97"/>
    <x v="4"/>
    <n v="0"/>
    <x v="32"/>
    <x v="38"/>
    <s v="010-6120-000"/>
    <n v="10"/>
    <n v="6120"/>
    <n v="0"/>
    <s v="Equipment Leases - Computers"/>
    <m/>
    <n v="3689.63"/>
  </r>
  <r>
    <n v="98"/>
    <x v="4"/>
    <n v="10"/>
    <x v="32"/>
    <x v="38"/>
    <s v="010-6140-000"/>
    <n v="10"/>
    <n v="6140"/>
    <n v="0"/>
    <s v="Equipment Maint. - Computers"/>
    <n v="18404.54"/>
    <n v="8418.2199999999993"/>
  </r>
  <r>
    <n v="99"/>
    <x v="4"/>
    <n v="10"/>
    <x v="35"/>
    <x v="41"/>
    <s v="010-6200-000"/>
    <n v="10"/>
    <n v="6200"/>
    <n v="0"/>
    <s v="Telephone Service"/>
    <n v="12946.48"/>
    <n v="10787.92"/>
  </r>
  <r>
    <n v="100"/>
    <x v="4"/>
    <n v="10"/>
    <x v="35"/>
    <x v="41"/>
    <s v="010-6220-000"/>
    <n v="10"/>
    <n v="6220"/>
    <n v="0"/>
    <s v="Cellular Telephone Service"/>
    <n v="17565.64"/>
    <n v="8220.77"/>
  </r>
  <r>
    <n v="148"/>
    <x v="4"/>
    <n v="20"/>
    <x v="35"/>
    <x v="41"/>
    <s v="020-6220-000"/>
    <n v="20"/>
    <n v="6220"/>
    <n v="0"/>
    <s v="Film - Cell Phone Charges"/>
    <m/>
    <n v="0"/>
  </r>
  <r>
    <n v="228"/>
    <x v="4"/>
    <n v="0"/>
    <x v="35"/>
    <x v="41"/>
    <s v="036-6220-000"/>
    <n v="36"/>
    <n v="6220"/>
    <n v="0"/>
    <s v="Cellular Telephone Service"/>
    <m/>
    <n v="923.94"/>
  </r>
  <r>
    <n v="101"/>
    <x v="4"/>
    <n v="0"/>
    <x v="35"/>
    <x v="41"/>
    <s v="010-6300-000"/>
    <n v="10"/>
    <n v="6300"/>
    <n v="0"/>
    <s v="Outside Reproduction"/>
    <m/>
    <n v="612.26"/>
  </r>
  <r>
    <n v="102"/>
    <x v="4"/>
    <n v="10"/>
    <x v="36"/>
    <x v="42"/>
    <s v="010-6310-000"/>
    <n v="10"/>
    <n v="6310"/>
    <n v="0"/>
    <s v="Postage"/>
    <n v="13547"/>
    <n v="7716.57"/>
  </r>
  <r>
    <n v="284"/>
    <x v="4"/>
    <n v="80"/>
    <x v="36"/>
    <x v="42"/>
    <s v="080-6310-000"/>
    <n v="80"/>
    <n v="6310"/>
    <n v="0"/>
    <s v="Postage"/>
    <n v="5.76"/>
    <n v="0"/>
  </r>
  <r>
    <n v="103"/>
    <x v="4"/>
    <n v="10"/>
    <x v="30"/>
    <x v="36"/>
    <s v="010-6320-000"/>
    <n v="10"/>
    <n v="6320"/>
    <n v="0"/>
    <s v="Office Meeting Expenses"/>
    <n v="1132.3499999999999"/>
    <n v="2531.42"/>
  </r>
  <r>
    <n v="129"/>
    <x v="4"/>
    <n v="11"/>
    <x v="30"/>
    <x v="36"/>
    <s v="011-6320-000"/>
    <n v="11"/>
    <n v="6320"/>
    <n v="0"/>
    <s v="Cornerstone- - Meeting Expense"/>
    <m/>
    <n v="79.31"/>
  </r>
  <r>
    <n v="172"/>
    <x v="0"/>
    <n v="25"/>
    <x v="19"/>
    <x v="26"/>
    <s v="025-6320-000"/>
    <n v="25"/>
    <n v="6320"/>
    <n v="0"/>
    <s v="Loan Corp- - Office Meeting Expenses"/>
    <m/>
    <n v="150.22999999999999"/>
  </r>
  <r>
    <n v="173"/>
    <x v="0"/>
    <n v="25"/>
    <x v="19"/>
    <x v="26"/>
    <s v="025-6320-028"/>
    <n v="25"/>
    <n v="6320"/>
    <n v="28"/>
    <s v="Meetings-Contra Account"/>
    <m/>
    <n v="-150.22999999999999"/>
  </r>
  <r>
    <n v="204"/>
    <x v="4"/>
    <n v="0"/>
    <x v="30"/>
    <x v="36"/>
    <s v="035-6320-000"/>
    <n v="35"/>
    <n v="6320"/>
    <n v="0"/>
    <s v="Office Meeting exp"/>
    <m/>
    <n v="432.63"/>
  </r>
  <r>
    <n v="229"/>
    <x v="4"/>
    <n v="0"/>
    <x v="30"/>
    <x v="36"/>
    <s v="036-6320-000"/>
    <n v="36"/>
    <n v="6320"/>
    <n v="0"/>
    <s v="Office Meeting exp"/>
    <m/>
    <n v="39.53"/>
  </r>
  <r>
    <n v="256"/>
    <x v="4"/>
    <n v="45"/>
    <x v="30"/>
    <x v="36"/>
    <s v="045-6320-000"/>
    <n v="45"/>
    <n v="6320"/>
    <n v="0"/>
    <s v="Office Meeting Expenses"/>
    <n v="44.55"/>
    <n v="0"/>
  </r>
  <r>
    <n v="104"/>
    <x v="4"/>
    <n v="10"/>
    <x v="30"/>
    <x v="36"/>
    <s v="010-6330-000"/>
    <n v="10"/>
    <n v="6330"/>
    <n v="0"/>
    <s v="Flowers"/>
    <n v="1564.01"/>
    <n v="0"/>
  </r>
  <r>
    <n v="105"/>
    <x v="4"/>
    <n v="10"/>
    <x v="36"/>
    <x v="42"/>
    <s v="010-6340-000"/>
    <n v="10"/>
    <n v="6340"/>
    <n v="0"/>
    <s v="Messenger Services"/>
    <n v="1506.12"/>
    <n v="756.52"/>
  </r>
  <r>
    <n v="230"/>
    <x v="4"/>
    <n v="36"/>
    <x v="36"/>
    <x v="42"/>
    <s v="036-6340-000"/>
    <n v="36"/>
    <n v="6340"/>
    <n v="0"/>
    <s v="Messenger Services"/>
    <m/>
    <n v="192.26"/>
  </r>
  <r>
    <n v="257"/>
    <x v="4"/>
    <n v="0"/>
    <x v="36"/>
    <x v="42"/>
    <s v="045-6340-000"/>
    <n v="45"/>
    <n v="6340"/>
    <n v="0"/>
    <s v="LCRA- -Messenger Service"/>
    <m/>
    <n v="138.07"/>
  </r>
  <r>
    <n v="274"/>
    <x v="4"/>
    <n v="0"/>
    <x v="36"/>
    <x v="42"/>
    <s v="060-6340-000"/>
    <n v="60"/>
    <n v="6340"/>
    <n v="0"/>
    <s v="TIF Commission- - Messenger Servide"/>
    <m/>
    <n v="27.6"/>
  </r>
  <r>
    <n v="106"/>
    <x v="4"/>
    <n v="10"/>
    <x v="27"/>
    <x v="34"/>
    <s v="010-6350-000"/>
    <n v="10"/>
    <n v="6350"/>
    <n v="0"/>
    <s v="EDC Board Parking"/>
    <n v="4314.93"/>
    <n v="622.07000000000005"/>
  </r>
  <r>
    <n v="174"/>
    <x v="0"/>
    <n v="25"/>
    <x v="19"/>
    <x v="26"/>
    <s v="025-6350-000"/>
    <n v="25"/>
    <n v="6350"/>
    <n v="0"/>
    <s v="Loan Corp- - Board Parking"/>
    <m/>
    <n v="15.25"/>
  </r>
  <r>
    <n v="175"/>
    <x v="0"/>
    <n v="25"/>
    <x v="19"/>
    <x v="26"/>
    <s v="025-6350-028"/>
    <n v="25"/>
    <n v="6350"/>
    <n v="28"/>
    <s v="Board Parking-Contra"/>
    <m/>
    <n v="-15.25"/>
  </r>
  <r>
    <n v="258"/>
    <x v="4"/>
    <n v="45"/>
    <x v="27"/>
    <x v="34"/>
    <s v="045-6350-000"/>
    <n v="45"/>
    <n v="6350"/>
    <n v="0"/>
    <s v="LCRA- - Board Parking"/>
    <m/>
    <n v="22.09"/>
  </r>
  <r>
    <n v="275"/>
    <x v="4"/>
    <n v="60"/>
    <x v="27"/>
    <x v="34"/>
    <s v="060-6350-000"/>
    <n v="60"/>
    <n v="6350"/>
    <n v="0"/>
    <s v="TIF Commission- - Board Parking"/>
    <m/>
    <n v="61.19"/>
  </r>
  <r>
    <n v="287"/>
    <x v="4"/>
    <n v="80"/>
    <x v="28"/>
    <x v="35"/>
    <s v="120-6360-000"/>
    <n v="120"/>
    <n v="6360"/>
    <n v="0"/>
    <s v="Rehabilitation Expenses"/>
    <n v="12803.45"/>
    <n v="0"/>
  </r>
  <r>
    <n v="107"/>
    <x v="4"/>
    <n v="10"/>
    <x v="37"/>
    <x v="43"/>
    <s v="010-6400-000"/>
    <n v="10"/>
    <n v="6400"/>
    <n v="0"/>
    <s v="Rent"/>
    <n v="273239.52"/>
    <n v="204929.64"/>
  </r>
  <r>
    <n v="108"/>
    <x v="4"/>
    <n v="10"/>
    <x v="37"/>
    <x v="43"/>
    <s v="010-6401-000"/>
    <n v="10"/>
    <n v="6401"/>
    <n v="0"/>
    <s v="CAM Charges"/>
    <n v="7597.94"/>
    <n v="0"/>
  </r>
  <r>
    <n v="109"/>
    <x v="4"/>
    <n v="10"/>
    <x v="37"/>
    <x v="43"/>
    <s v="010-6420-000"/>
    <n v="10"/>
    <n v="6420"/>
    <n v="0"/>
    <s v="Utilities"/>
    <n v="11563.16"/>
    <n v="15444.46"/>
  </r>
  <r>
    <n v="110"/>
    <x v="4"/>
    <n v="10"/>
    <x v="38"/>
    <x v="44"/>
    <s v="010-6500-000"/>
    <n v="10"/>
    <n v="6500"/>
    <n v="0"/>
    <s v="Accounting Services"/>
    <n v="46130"/>
    <n v="16818.099999999999"/>
  </r>
  <r>
    <n v="276"/>
    <x v="4"/>
    <n v="0"/>
    <x v="38"/>
    <x v="44"/>
    <s v="060-6500-000"/>
    <n v="60"/>
    <n v="6500"/>
    <n v="0"/>
    <s v="TIF Commission-Accounting Services"/>
    <m/>
    <n v="99157.5"/>
  </r>
  <r>
    <n v="55"/>
    <x v="4"/>
    <n v="20"/>
    <x v="39"/>
    <x v="45"/>
    <s v="000-6510-000"/>
    <n v="0"/>
    <n v="6510"/>
    <n v="0"/>
    <s v="Legal Services"/>
    <n v="1971"/>
    <n v="0"/>
  </r>
  <r>
    <n v="71"/>
    <x v="4"/>
    <n v="80"/>
    <x v="39"/>
    <x v="45"/>
    <s v="005-6510-000"/>
    <n v="5"/>
    <n v="6510"/>
    <n v="0"/>
    <s v="HEDFC Legal Services"/>
    <n v="123"/>
    <n v="0"/>
  </r>
  <r>
    <n v="111"/>
    <x v="4"/>
    <n v="10"/>
    <x v="39"/>
    <x v="45"/>
    <s v="010-6510-000"/>
    <n v="10"/>
    <n v="6510"/>
    <n v="0"/>
    <s v="Legal Services"/>
    <n v="102903.97"/>
    <n v="52259.61"/>
  </r>
  <r>
    <n v="176"/>
    <x v="0"/>
    <n v="25"/>
    <x v="19"/>
    <x v="26"/>
    <s v="025-6510-000"/>
    <n v="25"/>
    <n v="6510"/>
    <n v="0"/>
    <s v="Loan Corp- - Legal Services"/>
    <m/>
    <n v="0"/>
  </r>
  <r>
    <n v="205"/>
    <x v="4"/>
    <n v="35"/>
    <x v="39"/>
    <x v="45"/>
    <s v="035-6510-000"/>
    <n v="35"/>
    <n v="6510"/>
    <n v="0"/>
    <s v="Legal Fees"/>
    <n v="17405.5"/>
    <n v="16834.7"/>
  </r>
  <r>
    <n v="285"/>
    <x v="4"/>
    <n v="80"/>
    <x v="39"/>
    <x v="45"/>
    <s v="080-6510-000"/>
    <n v="80"/>
    <n v="6510"/>
    <n v="0"/>
    <s v="Legal Services"/>
    <n v="86.33"/>
    <n v="0"/>
  </r>
  <r>
    <n v="177"/>
    <x v="0"/>
    <n v="25"/>
    <x v="19"/>
    <x v="26"/>
    <s v="025-6512-000"/>
    <n v="25"/>
    <n v="6512"/>
    <n v="0"/>
    <s v="Settlement Expense"/>
    <m/>
    <n v="13000"/>
  </r>
  <r>
    <n v="178"/>
    <x v="0"/>
    <n v="25"/>
    <x v="19"/>
    <x v="26"/>
    <s v="025-6512-028"/>
    <n v="25"/>
    <n v="6512"/>
    <n v="28"/>
    <s v="Settlement Expenses-Contra"/>
    <m/>
    <n v="-13000"/>
  </r>
  <r>
    <n v="112"/>
    <x v="4"/>
    <n v="10"/>
    <x v="40"/>
    <x v="46"/>
    <s v="010-6520-000"/>
    <n v="10"/>
    <n v="6520"/>
    <n v="0"/>
    <s v="Recruiting Expenses"/>
    <n v="94138.19"/>
    <n v="30609.9"/>
  </r>
  <r>
    <n v="179"/>
    <x v="0"/>
    <n v="25"/>
    <x v="19"/>
    <x v="26"/>
    <s v="025-6520-000"/>
    <n v="25"/>
    <n v="6520"/>
    <n v="0"/>
    <s v="Recruiting Expenses"/>
    <m/>
    <n v="3151.13"/>
  </r>
  <r>
    <n v="180"/>
    <x v="0"/>
    <n v="25"/>
    <x v="19"/>
    <x v="26"/>
    <s v="025-6520-028"/>
    <n v="25"/>
    <n v="6520"/>
    <n v="28"/>
    <s v="Recruiting Expense-Contra"/>
    <m/>
    <n v="-3151.13"/>
  </r>
  <r>
    <n v="206"/>
    <x v="4"/>
    <n v="35"/>
    <x v="40"/>
    <x v="46"/>
    <s v="035-6520-000"/>
    <n v="35"/>
    <n v="6520"/>
    <n v="0"/>
    <s v="Recruiting Exp"/>
    <n v="1870.93"/>
    <n v="0"/>
  </r>
  <r>
    <n v="231"/>
    <x v="4"/>
    <n v="36"/>
    <x v="27"/>
    <x v="34"/>
    <s v="036-6525-000"/>
    <n v="36"/>
    <n v="6525"/>
    <n v="0"/>
    <s v="Relocation Expenses"/>
    <m/>
    <n v="5311"/>
  </r>
  <r>
    <n v="56"/>
    <x v="4"/>
    <n v="10"/>
    <x v="24"/>
    <x v="31"/>
    <s v="000-6530-000"/>
    <n v="0"/>
    <n v="6530"/>
    <n v="0"/>
    <s v="Outside Consultants"/>
    <n v="10000"/>
    <n v="0"/>
  </r>
  <r>
    <n v="113"/>
    <x v="4"/>
    <n v="10"/>
    <x v="24"/>
    <x v="31"/>
    <s v="010-6530-000"/>
    <n v="10"/>
    <n v="6530"/>
    <n v="0"/>
    <s v="Outside Consultants"/>
    <n v="128717.45"/>
    <n v="189307.16"/>
  </r>
  <r>
    <n v="149"/>
    <x v="4"/>
    <n v="20"/>
    <x v="24"/>
    <x v="31"/>
    <s v="020-6530-000"/>
    <n v="20"/>
    <n v="6530"/>
    <n v="0"/>
    <s v="Outside Consultants"/>
    <n v="9100.59"/>
    <n v="0"/>
  </r>
  <r>
    <n v="207"/>
    <x v="4"/>
    <n v="35"/>
    <x v="24"/>
    <x v="31"/>
    <s v="035-6530-000"/>
    <n v="35"/>
    <n v="6530"/>
    <n v="0"/>
    <s v="Outside Consultants"/>
    <n v="174319.55"/>
    <n v="211970.46"/>
  </r>
  <r>
    <n v="277"/>
    <x v="4"/>
    <n v="60"/>
    <x v="24"/>
    <x v="31"/>
    <s v="060-6530-000"/>
    <n v="60"/>
    <n v="6530"/>
    <n v="0"/>
    <s v="TIF Commission- - Consultant Expense"/>
    <m/>
    <n v="114.4"/>
  </r>
  <r>
    <n v="208"/>
    <x v="4"/>
    <n v="35"/>
    <x v="33"/>
    <x v="39"/>
    <s v="035-6540-000"/>
    <n v="35"/>
    <n v="6540"/>
    <n v="0"/>
    <s v="Contributions and Sponsorships"/>
    <n v="250"/>
    <n v="0"/>
  </r>
  <r>
    <n v="72"/>
    <x v="4"/>
    <n v="80"/>
    <x v="28"/>
    <x v="35"/>
    <s v="005-6560-000"/>
    <n v="5"/>
    <n v="6560"/>
    <n v="0"/>
    <s v="HEDFC-Property Maintenance and Mowing"/>
    <n v="43576"/>
    <n v="0"/>
  </r>
  <r>
    <n v="114"/>
    <x v="4"/>
    <n v="10"/>
    <x v="41"/>
    <x v="47"/>
    <s v="010-6600-000"/>
    <n v="10"/>
    <n v="6600"/>
    <n v="0"/>
    <s v="General Insurance"/>
    <n v="25392.17"/>
    <n v="20721"/>
  </r>
  <r>
    <n v="115"/>
    <x v="4"/>
    <n v="10"/>
    <x v="42"/>
    <x v="48"/>
    <s v="010-6700-000"/>
    <n v="10"/>
    <n v="6700"/>
    <n v="0"/>
    <s v="Interest Expense"/>
    <n v="452.94"/>
    <n v="0"/>
  </r>
  <r>
    <n v="116"/>
    <x v="4"/>
    <n v="10"/>
    <x v="27"/>
    <x v="34"/>
    <s v="010-6710-000"/>
    <n v="10"/>
    <n v="6710"/>
    <n v="0"/>
    <s v="Bank Service Charges"/>
    <n v="1208"/>
    <n v="1426.46"/>
  </r>
  <r>
    <n v="117"/>
    <x v="4"/>
    <n v="10"/>
    <x v="43"/>
    <x v="49"/>
    <s v="010-6810-000"/>
    <n v="10"/>
    <n v="6810"/>
    <n v="0"/>
    <s v="Depr Expense - Computer Hardware"/>
    <n v="35146.47"/>
    <n v="5289.78"/>
  </r>
  <r>
    <n v="118"/>
    <x v="4"/>
    <n v="10"/>
    <x v="43"/>
    <x v="49"/>
    <s v="010-6820-000"/>
    <n v="10"/>
    <n v="6820"/>
    <n v="0"/>
    <s v="Depr Exp - Computer Software"/>
    <n v="2602.54"/>
    <n v="1174.5999999999999"/>
  </r>
  <r>
    <n v="119"/>
    <x v="4"/>
    <n v="10"/>
    <x v="43"/>
    <x v="49"/>
    <s v="010-6830-000"/>
    <n v="10"/>
    <n v="6830"/>
    <n v="0"/>
    <s v="Depr Exp - Furniture &amp; Fixtures"/>
    <n v="2219.17"/>
    <n v="1974.91"/>
  </r>
  <r>
    <n v="120"/>
    <x v="4"/>
    <n v="10"/>
    <x v="43"/>
    <x v="49"/>
    <s v="010-6840-000"/>
    <n v="10"/>
    <n v="6840"/>
    <n v="0"/>
    <s v="Depr Exp - Leasehold Improvements"/>
    <n v="1710.31"/>
    <n v="1721.05"/>
  </r>
  <r>
    <n v="121"/>
    <x v="4"/>
    <n v="10"/>
    <x v="27"/>
    <x v="34"/>
    <s v="010-6900-000"/>
    <n v="10"/>
    <n v="6900"/>
    <n v="0"/>
    <s v="Office Entertainment"/>
    <n v="3718.62"/>
    <n v="0"/>
  </r>
  <r>
    <n v="122"/>
    <x v="4"/>
    <n v="11"/>
    <x v="44"/>
    <x v="50"/>
    <s v="010-6950-000"/>
    <n v="10"/>
    <n v="6950"/>
    <n v="0"/>
    <s v="Special Events"/>
    <n v="500"/>
    <n v="0"/>
  </r>
  <r>
    <n v="123"/>
    <x v="4"/>
    <n v="11"/>
    <x v="44"/>
    <x v="50"/>
    <s v="010-7000-000"/>
    <n v="10"/>
    <n v="7000"/>
    <n v="0"/>
    <s v="Cornerstone Awards Dinner"/>
    <n v="115367.39"/>
    <n v="0"/>
  </r>
  <r>
    <n v="130"/>
    <x v="4"/>
    <n v="11"/>
    <x v="44"/>
    <x v="50"/>
    <s v="011-7000-000"/>
    <n v="11"/>
    <n v="7000"/>
    <n v="0"/>
    <s v="Cornerstone Expense"/>
    <m/>
    <n v="101202.16"/>
  </r>
  <r>
    <n v="124"/>
    <x v="4"/>
    <n v="11"/>
    <x v="44"/>
    <x v="50"/>
    <s v="010-7010-000"/>
    <n v="10"/>
    <n v="7010"/>
    <n v="0"/>
    <s v="Cornerstone Luncheon"/>
    <n v="2625"/>
    <n v="0"/>
  </r>
  <r>
    <n v="125"/>
    <x v="4"/>
    <n v="11"/>
    <x v="44"/>
    <x v="50"/>
    <s v="010-7040-000"/>
    <n v="10"/>
    <n v="7040"/>
    <n v="0"/>
    <s v="Cornerstone Video Production"/>
    <m/>
    <n v="0"/>
  </r>
  <r>
    <n v="126"/>
    <x v="4"/>
    <n v="10"/>
    <x v="45"/>
    <x v="51"/>
    <s v="010-8600-000"/>
    <n v="10"/>
    <n v="8600"/>
    <n v="0"/>
    <s v="Capital Outlay-PC Project"/>
    <m/>
    <n v="70000"/>
  </r>
  <r>
    <n v="181"/>
    <x v="0"/>
    <n v="25"/>
    <x v="19"/>
    <x v="26"/>
    <s v="025-9999-000"/>
    <n v="25"/>
    <n v="9999"/>
    <n v="0"/>
    <s v="EDC Loan Contra Acct"/>
    <m/>
    <n v="0"/>
  </r>
  <r>
    <n v="36"/>
    <x v="2"/>
    <n v="0"/>
    <x v="10"/>
    <x v="10"/>
    <s v="000-2901-000"/>
    <n v="0"/>
    <s v="2901"/>
    <n v="0"/>
    <s v="Fund Balance-PC Replacement Pr-"/>
    <m/>
    <n v="-70000"/>
  </r>
  <r>
    <n v="183"/>
    <x v="3"/>
    <n v="35"/>
    <x v="15"/>
    <x v="16"/>
    <s v="035-4350-000"/>
    <s v="35"/>
    <s v="4350"/>
    <n v="0"/>
    <s v="Business Seminar Revenue"/>
    <m/>
    <n v="-2195"/>
  </r>
  <r>
    <n v="272"/>
    <x v="4"/>
    <n v="60"/>
    <x v="21"/>
    <x v="28"/>
    <s v="060-5310-000"/>
    <s v="60"/>
    <s v="5310"/>
    <n v="0"/>
    <s v="Professional Activities"/>
    <m/>
    <n v="100.51"/>
  </r>
  <r>
    <n v="209"/>
    <x v="4"/>
    <n v="35"/>
    <x v="21"/>
    <x v="28"/>
    <s v="035-8530-000"/>
    <s v="35"/>
    <s v="8530"/>
    <n v="0"/>
    <s v="Business Seminar Expenses"/>
    <m/>
    <n v="2000"/>
  </r>
  <r>
    <n v="232"/>
    <x v="4"/>
    <n v="36"/>
    <x v="21"/>
    <x v="28"/>
    <s v="036-8530-000"/>
    <s v="36"/>
    <s v="8530"/>
    <n v="0"/>
    <s v="Business Seminar Expenses"/>
    <m/>
    <n v="343"/>
  </r>
  <r>
    <m/>
    <x v="5"/>
    <m/>
    <x v="46"/>
    <x v="52"/>
    <m/>
    <m/>
    <m/>
    <m/>
    <m/>
    <m/>
    <s v="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3:D65" firstHeaderRow="2" firstDataRow="2" firstDataCol="3"/>
  <pivotFields count="12">
    <pivotField compact="0" outline="0" showAll="0"/>
    <pivotField axis="axisRow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axis="axisRow" compact="0" outline="0" showAll="0" defaultSubtotal="0">
      <items count="47">
        <item x="0"/>
        <item x="1"/>
        <item x="3"/>
        <item x="4"/>
        <item x="2"/>
        <item x="19"/>
        <item x="5"/>
        <item x="6"/>
        <item x="7"/>
        <item x="8"/>
        <item x="9"/>
        <item x="10"/>
        <item x="11"/>
        <item x="12"/>
        <item x="13"/>
        <item x="15"/>
        <item x="17"/>
        <item x="14"/>
        <item x="16"/>
        <item x="18"/>
        <item x="23"/>
        <item x="25"/>
        <item x="33"/>
        <item x="34"/>
        <item x="35"/>
        <item x="37"/>
        <item x="36"/>
        <item x="38"/>
        <item x="44"/>
        <item x="20"/>
        <item x="21"/>
        <item x="32"/>
        <item x="39"/>
        <item x="31"/>
        <item x="40"/>
        <item x="24"/>
        <item x="41"/>
        <item x="27"/>
        <item x="30"/>
        <item x="22"/>
        <item x="43"/>
        <item x="28"/>
        <item x="42"/>
        <item x="29"/>
        <item x="26"/>
        <item x="46"/>
        <item x="45"/>
      </items>
    </pivotField>
    <pivotField axis="axisRow" compact="0" outline="0" showAll="0" sortType="ascending">
      <items count="101">
        <item m="1" x="76"/>
        <item m="1" x="71"/>
        <item m="1" x="85"/>
        <item m="1" x="92"/>
        <item m="1" x="64"/>
        <item m="1" x="78"/>
        <item m="1" x="61"/>
        <item m="1" x="87"/>
        <item m="1" x="74"/>
        <item m="1" x="82"/>
        <item m="1" x="93"/>
        <item m="1" x="75"/>
        <item m="1" x="89"/>
        <item m="1" x="94"/>
        <item m="1" x="83"/>
        <item m="1" x="55"/>
        <item m="1" x="54"/>
        <item m="1" x="60"/>
        <item m="1" x="77"/>
        <item m="1" x="81"/>
        <item m="1" x="70"/>
        <item m="1" x="56"/>
        <item m="1" x="66"/>
        <item m="1" x="57"/>
        <item m="1" x="73"/>
        <item m="1" x="67"/>
        <item m="1" x="79"/>
        <item m="1" x="69"/>
        <item m="1" x="65"/>
        <item m="1" x="62"/>
        <item m="1" x="99"/>
        <item m="1" x="58"/>
        <item m="1" x="80"/>
        <item m="1" x="96"/>
        <item m="1" x="59"/>
        <item m="1" x="72"/>
        <item m="1" x="95"/>
        <item m="1" x="84"/>
        <item m="1" x="90"/>
        <item m="1" x="63"/>
        <item m="1" x="91"/>
        <item m="1" x="68"/>
        <item m="1" x="86"/>
        <item m="1" x="88"/>
        <item m="1" x="98"/>
        <item x="44"/>
        <item x="6"/>
        <item x="3"/>
        <item x="7"/>
        <item x="14"/>
        <item x="51"/>
        <item x="0"/>
        <item x="22"/>
        <item x="11"/>
        <item x="25"/>
        <item x="38"/>
        <item x="33"/>
        <item x="39"/>
        <item x="50"/>
        <item x="21"/>
        <item x="9"/>
        <item x="8"/>
        <item x="49"/>
        <item m="1" x="53"/>
        <item x="4"/>
        <item x="26"/>
        <item x="29"/>
        <item x="17"/>
        <item x="40"/>
        <item x="10"/>
        <item x="18"/>
        <item x="47"/>
        <item x="48"/>
        <item x="23"/>
        <item x="1"/>
        <item x="30"/>
        <item x="12"/>
        <item x="19"/>
        <item x="45"/>
        <item x="13"/>
        <item x="32"/>
        <item x="34"/>
        <item x="16"/>
        <item x="31"/>
        <item x="41"/>
        <item x="24"/>
        <item x="42"/>
        <item x="2"/>
        <item x="35"/>
        <item x="15"/>
        <item x="5"/>
        <item x="46"/>
        <item x="43"/>
        <item x="36"/>
        <item x="37"/>
        <item x="20"/>
        <item x="28"/>
        <item x="27"/>
        <item m="1" x="97"/>
        <item x="52"/>
        <item t="default"/>
      </items>
    </pivotField>
    <pivotField compact="0" outline="0" showAll="0"/>
    <pivotField compact="0" outline="0" showAll="0" defaultSubtotal="0"/>
    <pivotField compact="0" outline="0" showAll="0"/>
    <pivotField compact="0" outline="0" showAll="0" defaultSubtotal="0"/>
    <pivotField compact="0" outline="0" showAll="0"/>
    <pivotField compact="0" outline="0" showAll="0"/>
    <pivotField dataField="1" compact="0" outline="0" showAll="0" defaultSubtotal="0"/>
  </pivotFields>
  <rowFields count="3">
    <field x="1"/>
    <field x="3"/>
    <field x="4"/>
  </rowFields>
  <rowItems count="61">
    <i>
      <x/>
      <x/>
      <x v="51"/>
    </i>
    <i r="1">
      <x v="1"/>
      <x v="74"/>
    </i>
    <i r="1">
      <x v="2"/>
      <x v="47"/>
    </i>
    <i r="1">
      <x v="3"/>
      <x v="64"/>
    </i>
    <i r="1">
      <x v="4"/>
      <x v="87"/>
    </i>
    <i r="1">
      <x v="5"/>
      <x v="65"/>
    </i>
    <i r="1">
      <x v="6"/>
      <x v="90"/>
    </i>
    <i t="default">
      <x/>
    </i>
    <i>
      <x v="1"/>
      <x v="7"/>
      <x v="46"/>
    </i>
    <i r="1">
      <x v="8"/>
      <x v="48"/>
    </i>
    <i r="1">
      <x v="9"/>
      <x v="61"/>
    </i>
    <i r="1">
      <x v="10"/>
      <x v="60"/>
    </i>
    <i t="default">
      <x v="1"/>
    </i>
    <i>
      <x v="2"/>
      <x v="11"/>
      <x v="69"/>
    </i>
    <i t="default">
      <x v="2"/>
    </i>
    <i>
      <x v="3"/>
      <x v="12"/>
      <x v="53"/>
    </i>
    <i r="1">
      <x v="13"/>
      <x v="67"/>
    </i>
    <i r="2">
      <x v="70"/>
    </i>
    <i r="2">
      <x v="76"/>
    </i>
    <i r="2">
      <x v="77"/>
    </i>
    <i r="2">
      <x v="79"/>
    </i>
    <i r="2">
      <x v="95"/>
    </i>
    <i r="1">
      <x v="14"/>
      <x v="49"/>
    </i>
    <i r="1">
      <x v="15"/>
      <x v="52"/>
    </i>
    <i r="2">
      <x v="82"/>
    </i>
    <i r="2">
      <x v="85"/>
    </i>
    <i r="1">
      <x v="16"/>
      <x v="73"/>
    </i>
    <i r="1">
      <x v="17"/>
      <x v="89"/>
    </i>
    <i r="1">
      <x v="18"/>
      <x v="59"/>
    </i>
    <i t="default">
      <x v="3"/>
    </i>
    <i>
      <x v="4"/>
      <x v="19"/>
      <x v="54"/>
    </i>
    <i r="1">
      <x v="20"/>
      <x v="75"/>
    </i>
    <i r="1">
      <x v="21"/>
      <x v="80"/>
    </i>
    <i r="1">
      <x v="22"/>
      <x v="57"/>
    </i>
    <i r="1">
      <x v="23"/>
      <x v="68"/>
    </i>
    <i r="1">
      <x v="24"/>
      <x v="84"/>
    </i>
    <i r="1">
      <x v="25"/>
      <x v="92"/>
    </i>
    <i r="1">
      <x v="26"/>
      <x v="86"/>
    </i>
    <i r="1">
      <x v="27"/>
      <x v="45"/>
    </i>
    <i r="1">
      <x v="28"/>
      <x v="58"/>
    </i>
    <i r="1">
      <x v="29"/>
      <x v="97"/>
    </i>
    <i r="1">
      <x v="30"/>
      <x v="96"/>
    </i>
    <i r="1">
      <x v="31"/>
      <x v="55"/>
    </i>
    <i r="1">
      <x v="32"/>
      <x v="78"/>
    </i>
    <i r="1">
      <x v="33"/>
      <x v="94"/>
    </i>
    <i r="1">
      <x v="34"/>
      <x v="91"/>
    </i>
    <i r="1">
      <x v="35"/>
      <x v="83"/>
    </i>
    <i r="1">
      <x v="36"/>
      <x v="71"/>
    </i>
    <i r="1">
      <x v="37"/>
      <x v="81"/>
    </i>
    <i r="1">
      <x v="38"/>
      <x v="93"/>
    </i>
    <i r="1">
      <x v="39"/>
      <x v="66"/>
    </i>
    <i r="1">
      <x v="40"/>
      <x v="62"/>
    </i>
    <i r="1">
      <x v="41"/>
      <x v="88"/>
    </i>
    <i r="1">
      <x v="42"/>
      <x v="72"/>
    </i>
    <i r="1">
      <x v="43"/>
      <x v="88"/>
    </i>
    <i r="1">
      <x v="44"/>
      <x v="56"/>
    </i>
    <i r="1">
      <x v="46"/>
      <x v="50"/>
    </i>
    <i t="default">
      <x v="4"/>
    </i>
    <i>
      <x v="5"/>
      <x v="45"/>
      <x v="99"/>
    </i>
    <i t="default">
      <x v="5"/>
    </i>
    <i t="grand">
      <x/>
    </i>
  </rowItems>
  <colItems count="1">
    <i/>
  </colItems>
  <dataFields count="1">
    <dataField name="Sum of 10/31/2015" fld="11" baseField="4" baseItem="47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41"/>
  <sheetViews>
    <sheetView tabSelected="1" view="pageBreakPreview" zoomScale="110" zoomScaleNormal="100" zoomScaleSheetLayoutView="110" workbookViewId="0">
      <selection activeCell="A3" sqref="A3:XFD3"/>
    </sheetView>
  </sheetViews>
  <sheetFormatPr defaultColWidth="9.140625" defaultRowHeight="12.75" x14ac:dyDescent="0.2"/>
  <cols>
    <col min="1" max="1" width="4.28515625" style="16" customWidth="1"/>
    <col min="2" max="2" width="6.85546875" style="16" customWidth="1"/>
    <col min="3" max="3" width="38" style="16" customWidth="1"/>
    <col min="4" max="4" width="14.5703125" style="22" customWidth="1"/>
    <col min="5" max="5" width="13.42578125" style="16" customWidth="1"/>
    <col min="6" max="6" width="11.5703125" style="16" customWidth="1"/>
    <col min="7" max="253" width="9.140625" style="16"/>
    <col min="254" max="254" width="4.28515625" style="16" customWidth="1"/>
    <col min="255" max="255" width="6.85546875" style="16" customWidth="1"/>
    <col min="256" max="256" width="38" style="16" customWidth="1"/>
    <col min="257" max="257" width="14.5703125" style="16" customWidth="1"/>
    <col min="258" max="258" width="13.42578125" style="16" customWidth="1"/>
    <col min="259" max="259" width="11.5703125" style="16" customWidth="1"/>
    <col min="260" max="509" width="9.140625" style="16"/>
    <col min="510" max="510" width="4.28515625" style="16" customWidth="1"/>
    <col min="511" max="511" width="6.85546875" style="16" customWidth="1"/>
    <col min="512" max="512" width="38" style="16" customWidth="1"/>
    <col min="513" max="513" width="14.5703125" style="16" customWidth="1"/>
    <col min="514" max="514" width="13.42578125" style="16" customWidth="1"/>
    <col min="515" max="515" width="11.5703125" style="16" customWidth="1"/>
    <col min="516" max="765" width="9.140625" style="16"/>
    <col min="766" max="766" width="4.28515625" style="16" customWidth="1"/>
    <col min="767" max="767" width="6.85546875" style="16" customWidth="1"/>
    <col min="768" max="768" width="38" style="16" customWidth="1"/>
    <col min="769" max="769" width="14.5703125" style="16" customWidth="1"/>
    <col min="770" max="770" width="13.42578125" style="16" customWidth="1"/>
    <col min="771" max="771" width="11.5703125" style="16" customWidth="1"/>
    <col min="772" max="1021" width="9.140625" style="16"/>
    <col min="1022" max="1022" width="4.28515625" style="16" customWidth="1"/>
    <col min="1023" max="1023" width="6.85546875" style="16" customWidth="1"/>
    <col min="1024" max="1024" width="38" style="16" customWidth="1"/>
    <col min="1025" max="1025" width="14.5703125" style="16" customWidth="1"/>
    <col min="1026" max="1026" width="13.42578125" style="16" customWidth="1"/>
    <col min="1027" max="1027" width="11.5703125" style="16" customWidth="1"/>
    <col min="1028" max="1277" width="9.140625" style="16"/>
    <col min="1278" max="1278" width="4.28515625" style="16" customWidth="1"/>
    <col min="1279" max="1279" width="6.85546875" style="16" customWidth="1"/>
    <col min="1280" max="1280" width="38" style="16" customWidth="1"/>
    <col min="1281" max="1281" width="14.5703125" style="16" customWidth="1"/>
    <col min="1282" max="1282" width="13.42578125" style="16" customWidth="1"/>
    <col min="1283" max="1283" width="11.5703125" style="16" customWidth="1"/>
    <col min="1284" max="1533" width="9.140625" style="16"/>
    <col min="1534" max="1534" width="4.28515625" style="16" customWidth="1"/>
    <col min="1535" max="1535" width="6.85546875" style="16" customWidth="1"/>
    <col min="1536" max="1536" width="38" style="16" customWidth="1"/>
    <col min="1537" max="1537" width="14.5703125" style="16" customWidth="1"/>
    <col min="1538" max="1538" width="13.42578125" style="16" customWidth="1"/>
    <col min="1539" max="1539" width="11.5703125" style="16" customWidth="1"/>
    <col min="1540" max="1789" width="9.140625" style="16"/>
    <col min="1790" max="1790" width="4.28515625" style="16" customWidth="1"/>
    <col min="1791" max="1791" width="6.85546875" style="16" customWidth="1"/>
    <col min="1792" max="1792" width="38" style="16" customWidth="1"/>
    <col min="1793" max="1793" width="14.5703125" style="16" customWidth="1"/>
    <col min="1794" max="1794" width="13.42578125" style="16" customWidth="1"/>
    <col min="1795" max="1795" width="11.5703125" style="16" customWidth="1"/>
    <col min="1796" max="2045" width="9.140625" style="16"/>
    <col min="2046" max="2046" width="4.28515625" style="16" customWidth="1"/>
    <col min="2047" max="2047" width="6.85546875" style="16" customWidth="1"/>
    <col min="2048" max="2048" width="38" style="16" customWidth="1"/>
    <col min="2049" max="2049" width="14.5703125" style="16" customWidth="1"/>
    <col min="2050" max="2050" width="13.42578125" style="16" customWidth="1"/>
    <col min="2051" max="2051" width="11.5703125" style="16" customWidth="1"/>
    <col min="2052" max="2301" width="9.140625" style="16"/>
    <col min="2302" max="2302" width="4.28515625" style="16" customWidth="1"/>
    <col min="2303" max="2303" width="6.85546875" style="16" customWidth="1"/>
    <col min="2304" max="2304" width="38" style="16" customWidth="1"/>
    <col min="2305" max="2305" width="14.5703125" style="16" customWidth="1"/>
    <col min="2306" max="2306" width="13.42578125" style="16" customWidth="1"/>
    <col min="2307" max="2307" width="11.5703125" style="16" customWidth="1"/>
    <col min="2308" max="2557" width="9.140625" style="16"/>
    <col min="2558" max="2558" width="4.28515625" style="16" customWidth="1"/>
    <col min="2559" max="2559" width="6.85546875" style="16" customWidth="1"/>
    <col min="2560" max="2560" width="38" style="16" customWidth="1"/>
    <col min="2561" max="2561" width="14.5703125" style="16" customWidth="1"/>
    <col min="2562" max="2562" width="13.42578125" style="16" customWidth="1"/>
    <col min="2563" max="2563" width="11.5703125" style="16" customWidth="1"/>
    <col min="2564" max="2813" width="9.140625" style="16"/>
    <col min="2814" max="2814" width="4.28515625" style="16" customWidth="1"/>
    <col min="2815" max="2815" width="6.85546875" style="16" customWidth="1"/>
    <col min="2816" max="2816" width="38" style="16" customWidth="1"/>
    <col min="2817" max="2817" width="14.5703125" style="16" customWidth="1"/>
    <col min="2818" max="2818" width="13.42578125" style="16" customWidth="1"/>
    <col min="2819" max="2819" width="11.5703125" style="16" customWidth="1"/>
    <col min="2820" max="3069" width="9.140625" style="16"/>
    <col min="3070" max="3070" width="4.28515625" style="16" customWidth="1"/>
    <col min="3071" max="3071" width="6.85546875" style="16" customWidth="1"/>
    <col min="3072" max="3072" width="38" style="16" customWidth="1"/>
    <col min="3073" max="3073" width="14.5703125" style="16" customWidth="1"/>
    <col min="3074" max="3074" width="13.42578125" style="16" customWidth="1"/>
    <col min="3075" max="3075" width="11.5703125" style="16" customWidth="1"/>
    <col min="3076" max="3325" width="9.140625" style="16"/>
    <col min="3326" max="3326" width="4.28515625" style="16" customWidth="1"/>
    <col min="3327" max="3327" width="6.85546875" style="16" customWidth="1"/>
    <col min="3328" max="3328" width="38" style="16" customWidth="1"/>
    <col min="3329" max="3329" width="14.5703125" style="16" customWidth="1"/>
    <col min="3330" max="3330" width="13.42578125" style="16" customWidth="1"/>
    <col min="3331" max="3331" width="11.5703125" style="16" customWidth="1"/>
    <col min="3332" max="3581" width="9.140625" style="16"/>
    <col min="3582" max="3582" width="4.28515625" style="16" customWidth="1"/>
    <col min="3583" max="3583" width="6.85546875" style="16" customWidth="1"/>
    <col min="3584" max="3584" width="38" style="16" customWidth="1"/>
    <col min="3585" max="3585" width="14.5703125" style="16" customWidth="1"/>
    <col min="3586" max="3586" width="13.42578125" style="16" customWidth="1"/>
    <col min="3587" max="3587" width="11.5703125" style="16" customWidth="1"/>
    <col min="3588" max="3837" width="9.140625" style="16"/>
    <col min="3838" max="3838" width="4.28515625" style="16" customWidth="1"/>
    <col min="3839" max="3839" width="6.85546875" style="16" customWidth="1"/>
    <col min="3840" max="3840" width="38" style="16" customWidth="1"/>
    <col min="3841" max="3841" width="14.5703125" style="16" customWidth="1"/>
    <col min="3842" max="3842" width="13.42578125" style="16" customWidth="1"/>
    <col min="3843" max="3843" width="11.5703125" style="16" customWidth="1"/>
    <col min="3844" max="4093" width="9.140625" style="16"/>
    <col min="4094" max="4094" width="4.28515625" style="16" customWidth="1"/>
    <col min="4095" max="4095" width="6.85546875" style="16" customWidth="1"/>
    <col min="4096" max="4096" width="38" style="16" customWidth="1"/>
    <col min="4097" max="4097" width="14.5703125" style="16" customWidth="1"/>
    <col min="4098" max="4098" width="13.42578125" style="16" customWidth="1"/>
    <col min="4099" max="4099" width="11.5703125" style="16" customWidth="1"/>
    <col min="4100" max="4349" width="9.140625" style="16"/>
    <col min="4350" max="4350" width="4.28515625" style="16" customWidth="1"/>
    <col min="4351" max="4351" width="6.85546875" style="16" customWidth="1"/>
    <col min="4352" max="4352" width="38" style="16" customWidth="1"/>
    <col min="4353" max="4353" width="14.5703125" style="16" customWidth="1"/>
    <col min="4354" max="4354" width="13.42578125" style="16" customWidth="1"/>
    <col min="4355" max="4355" width="11.5703125" style="16" customWidth="1"/>
    <col min="4356" max="4605" width="9.140625" style="16"/>
    <col min="4606" max="4606" width="4.28515625" style="16" customWidth="1"/>
    <col min="4607" max="4607" width="6.85546875" style="16" customWidth="1"/>
    <col min="4608" max="4608" width="38" style="16" customWidth="1"/>
    <col min="4609" max="4609" width="14.5703125" style="16" customWidth="1"/>
    <col min="4610" max="4610" width="13.42578125" style="16" customWidth="1"/>
    <col min="4611" max="4611" width="11.5703125" style="16" customWidth="1"/>
    <col min="4612" max="4861" width="9.140625" style="16"/>
    <col min="4862" max="4862" width="4.28515625" style="16" customWidth="1"/>
    <col min="4863" max="4863" width="6.85546875" style="16" customWidth="1"/>
    <col min="4864" max="4864" width="38" style="16" customWidth="1"/>
    <col min="4865" max="4865" width="14.5703125" style="16" customWidth="1"/>
    <col min="4866" max="4866" width="13.42578125" style="16" customWidth="1"/>
    <col min="4867" max="4867" width="11.5703125" style="16" customWidth="1"/>
    <col min="4868" max="5117" width="9.140625" style="16"/>
    <col min="5118" max="5118" width="4.28515625" style="16" customWidth="1"/>
    <col min="5119" max="5119" width="6.85546875" style="16" customWidth="1"/>
    <col min="5120" max="5120" width="38" style="16" customWidth="1"/>
    <col min="5121" max="5121" width="14.5703125" style="16" customWidth="1"/>
    <col min="5122" max="5122" width="13.42578125" style="16" customWidth="1"/>
    <col min="5123" max="5123" width="11.5703125" style="16" customWidth="1"/>
    <col min="5124" max="5373" width="9.140625" style="16"/>
    <col min="5374" max="5374" width="4.28515625" style="16" customWidth="1"/>
    <col min="5375" max="5375" width="6.85546875" style="16" customWidth="1"/>
    <col min="5376" max="5376" width="38" style="16" customWidth="1"/>
    <col min="5377" max="5377" width="14.5703125" style="16" customWidth="1"/>
    <col min="5378" max="5378" width="13.42578125" style="16" customWidth="1"/>
    <col min="5379" max="5379" width="11.5703125" style="16" customWidth="1"/>
    <col min="5380" max="5629" width="9.140625" style="16"/>
    <col min="5630" max="5630" width="4.28515625" style="16" customWidth="1"/>
    <col min="5631" max="5631" width="6.85546875" style="16" customWidth="1"/>
    <col min="5632" max="5632" width="38" style="16" customWidth="1"/>
    <col min="5633" max="5633" width="14.5703125" style="16" customWidth="1"/>
    <col min="5634" max="5634" width="13.42578125" style="16" customWidth="1"/>
    <col min="5635" max="5635" width="11.5703125" style="16" customWidth="1"/>
    <col min="5636" max="5885" width="9.140625" style="16"/>
    <col min="5886" max="5886" width="4.28515625" style="16" customWidth="1"/>
    <col min="5887" max="5887" width="6.85546875" style="16" customWidth="1"/>
    <col min="5888" max="5888" width="38" style="16" customWidth="1"/>
    <col min="5889" max="5889" width="14.5703125" style="16" customWidth="1"/>
    <col min="5890" max="5890" width="13.42578125" style="16" customWidth="1"/>
    <col min="5891" max="5891" width="11.5703125" style="16" customWidth="1"/>
    <col min="5892" max="6141" width="9.140625" style="16"/>
    <col min="6142" max="6142" width="4.28515625" style="16" customWidth="1"/>
    <col min="6143" max="6143" width="6.85546875" style="16" customWidth="1"/>
    <col min="6144" max="6144" width="38" style="16" customWidth="1"/>
    <col min="6145" max="6145" width="14.5703125" style="16" customWidth="1"/>
    <col min="6146" max="6146" width="13.42578125" style="16" customWidth="1"/>
    <col min="6147" max="6147" width="11.5703125" style="16" customWidth="1"/>
    <col min="6148" max="6397" width="9.140625" style="16"/>
    <col min="6398" max="6398" width="4.28515625" style="16" customWidth="1"/>
    <col min="6399" max="6399" width="6.85546875" style="16" customWidth="1"/>
    <col min="6400" max="6400" width="38" style="16" customWidth="1"/>
    <col min="6401" max="6401" width="14.5703125" style="16" customWidth="1"/>
    <col min="6402" max="6402" width="13.42578125" style="16" customWidth="1"/>
    <col min="6403" max="6403" width="11.5703125" style="16" customWidth="1"/>
    <col min="6404" max="6653" width="9.140625" style="16"/>
    <col min="6654" max="6654" width="4.28515625" style="16" customWidth="1"/>
    <col min="6655" max="6655" width="6.85546875" style="16" customWidth="1"/>
    <col min="6656" max="6656" width="38" style="16" customWidth="1"/>
    <col min="6657" max="6657" width="14.5703125" style="16" customWidth="1"/>
    <col min="6658" max="6658" width="13.42578125" style="16" customWidth="1"/>
    <col min="6659" max="6659" width="11.5703125" style="16" customWidth="1"/>
    <col min="6660" max="6909" width="9.140625" style="16"/>
    <col min="6910" max="6910" width="4.28515625" style="16" customWidth="1"/>
    <col min="6911" max="6911" width="6.85546875" style="16" customWidth="1"/>
    <col min="6912" max="6912" width="38" style="16" customWidth="1"/>
    <col min="6913" max="6913" width="14.5703125" style="16" customWidth="1"/>
    <col min="6914" max="6914" width="13.42578125" style="16" customWidth="1"/>
    <col min="6915" max="6915" width="11.5703125" style="16" customWidth="1"/>
    <col min="6916" max="7165" width="9.140625" style="16"/>
    <col min="7166" max="7166" width="4.28515625" style="16" customWidth="1"/>
    <col min="7167" max="7167" width="6.85546875" style="16" customWidth="1"/>
    <col min="7168" max="7168" width="38" style="16" customWidth="1"/>
    <col min="7169" max="7169" width="14.5703125" style="16" customWidth="1"/>
    <col min="7170" max="7170" width="13.42578125" style="16" customWidth="1"/>
    <col min="7171" max="7171" width="11.5703125" style="16" customWidth="1"/>
    <col min="7172" max="7421" width="9.140625" style="16"/>
    <col min="7422" max="7422" width="4.28515625" style="16" customWidth="1"/>
    <col min="7423" max="7423" width="6.85546875" style="16" customWidth="1"/>
    <col min="7424" max="7424" width="38" style="16" customWidth="1"/>
    <col min="7425" max="7425" width="14.5703125" style="16" customWidth="1"/>
    <col min="7426" max="7426" width="13.42578125" style="16" customWidth="1"/>
    <col min="7427" max="7427" width="11.5703125" style="16" customWidth="1"/>
    <col min="7428" max="7677" width="9.140625" style="16"/>
    <col min="7678" max="7678" width="4.28515625" style="16" customWidth="1"/>
    <col min="7679" max="7679" width="6.85546875" style="16" customWidth="1"/>
    <col min="7680" max="7680" width="38" style="16" customWidth="1"/>
    <col min="7681" max="7681" width="14.5703125" style="16" customWidth="1"/>
    <col min="7682" max="7682" width="13.42578125" style="16" customWidth="1"/>
    <col min="7683" max="7683" width="11.5703125" style="16" customWidth="1"/>
    <col min="7684" max="7933" width="9.140625" style="16"/>
    <col min="7934" max="7934" width="4.28515625" style="16" customWidth="1"/>
    <col min="7935" max="7935" width="6.85546875" style="16" customWidth="1"/>
    <col min="7936" max="7936" width="38" style="16" customWidth="1"/>
    <col min="7937" max="7937" width="14.5703125" style="16" customWidth="1"/>
    <col min="7938" max="7938" width="13.42578125" style="16" customWidth="1"/>
    <col min="7939" max="7939" width="11.5703125" style="16" customWidth="1"/>
    <col min="7940" max="8189" width="9.140625" style="16"/>
    <col min="8190" max="8190" width="4.28515625" style="16" customWidth="1"/>
    <col min="8191" max="8191" width="6.85546875" style="16" customWidth="1"/>
    <col min="8192" max="8192" width="38" style="16" customWidth="1"/>
    <col min="8193" max="8193" width="14.5703125" style="16" customWidth="1"/>
    <col min="8194" max="8194" width="13.42578125" style="16" customWidth="1"/>
    <col min="8195" max="8195" width="11.5703125" style="16" customWidth="1"/>
    <col min="8196" max="8445" width="9.140625" style="16"/>
    <col min="8446" max="8446" width="4.28515625" style="16" customWidth="1"/>
    <col min="8447" max="8447" width="6.85546875" style="16" customWidth="1"/>
    <col min="8448" max="8448" width="38" style="16" customWidth="1"/>
    <col min="8449" max="8449" width="14.5703125" style="16" customWidth="1"/>
    <col min="8450" max="8450" width="13.42578125" style="16" customWidth="1"/>
    <col min="8451" max="8451" width="11.5703125" style="16" customWidth="1"/>
    <col min="8452" max="8701" width="9.140625" style="16"/>
    <col min="8702" max="8702" width="4.28515625" style="16" customWidth="1"/>
    <col min="8703" max="8703" width="6.85546875" style="16" customWidth="1"/>
    <col min="8704" max="8704" width="38" style="16" customWidth="1"/>
    <col min="8705" max="8705" width="14.5703125" style="16" customWidth="1"/>
    <col min="8706" max="8706" width="13.42578125" style="16" customWidth="1"/>
    <col min="8707" max="8707" width="11.5703125" style="16" customWidth="1"/>
    <col min="8708" max="8957" width="9.140625" style="16"/>
    <col min="8958" max="8958" width="4.28515625" style="16" customWidth="1"/>
    <col min="8959" max="8959" width="6.85546875" style="16" customWidth="1"/>
    <col min="8960" max="8960" width="38" style="16" customWidth="1"/>
    <col min="8961" max="8961" width="14.5703125" style="16" customWidth="1"/>
    <col min="8962" max="8962" width="13.42578125" style="16" customWidth="1"/>
    <col min="8963" max="8963" width="11.5703125" style="16" customWidth="1"/>
    <col min="8964" max="9213" width="9.140625" style="16"/>
    <col min="9214" max="9214" width="4.28515625" style="16" customWidth="1"/>
    <col min="9215" max="9215" width="6.85546875" style="16" customWidth="1"/>
    <col min="9216" max="9216" width="38" style="16" customWidth="1"/>
    <col min="9217" max="9217" width="14.5703125" style="16" customWidth="1"/>
    <col min="9218" max="9218" width="13.42578125" style="16" customWidth="1"/>
    <col min="9219" max="9219" width="11.5703125" style="16" customWidth="1"/>
    <col min="9220" max="9469" width="9.140625" style="16"/>
    <col min="9470" max="9470" width="4.28515625" style="16" customWidth="1"/>
    <col min="9471" max="9471" width="6.85546875" style="16" customWidth="1"/>
    <col min="9472" max="9472" width="38" style="16" customWidth="1"/>
    <col min="9473" max="9473" width="14.5703125" style="16" customWidth="1"/>
    <col min="9474" max="9474" width="13.42578125" style="16" customWidth="1"/>
    <col min="9475" max="9475" width="11.5703125" style="16" customWidth="1"/>
    <col min="9476" max="9725" width="9.140625" style="16"/>
    <col min="9726" max="9726" width="4.28515625" style="16" customWidth="1"/>
    <col min="9727" max="9727" width="6.85546875" style="16" customWidth="1"/>
    <col min="9728" max="9728" width="38" style="16" customWidth="1"/>
    <col min="9729" max="9729" width="14.5703125" style="16" customWidth="1"/>
    <col min="9730" max="9730" width="13.42578125" style="16" customWidth="1"/>
    <col min="9731" max="9731" width="11.5703125" style="16" customWidth="1"/>
    <col min="9732" max="9981" width="9.140625" style="16"/>
    <col min="9982" max="9982" width="4.28515625" style="16" customWidth="1"/>
    <col min="9983" max="9983" width="6.85546875" style="16" customWidth="1"/>
    <col min="9984" max="9984" width="38" style="16" customWidth="1"/>
    <col min="9985" max="9985" width="14.5703125" style="16" customWidth="1"/>
    <col min="9986" max="9986" width="13.42578125" style="16" customWidth="1"/>
    <col min="9987" max="9987" width="11.5703125" style="16" customWidth="1"/>
    <col min="9988" max="10237" width="9.140625" style="16"/>
    <col min="10238" max="10238" width="4.28515625" style="16" customWidth="1"/>
    <col min="10239" max="10239" width="6.85546875" style="16" customWidth="1"/>
    <col min="10240" max="10240" width="38" style="16" customWidth="1"/>
    <col min="10241" max="10241" width="14.5703125" style="16" customWidth="1"/>
    <col min="10242" max="10242" width="13.42578125" style="16" customWidth="1"/>
    <col min="10243" max="10243" width="11.5703125" style="16" customWidth="1"/>
    <col min="10244" max="10493" width="9.140625" style="16"/>
    <col min="10494" max="10494" width="4.28515625" style="16" customWidth="1"/>
    <col min="10495" max="10495" width="6.85546875" style="16" customWidth="1"/>
    <col min="10496" max="10496" width="38" style="16" customWidth="1"/>
    <col min="10497" max="10497" width="14.5703125" style="16" customWidth="1"/>
    <col min="10498" max="10498" width="13.42578125" style="16" customWidth="1"/>
    <col min="10499" max="10499" width="11.5703125" style="16" customWidth="1"/>
    <col min="10500" max="10749" width="9.140625" style="16"/>
    <col min="10750" max="10750" width="4.28515625" style="16" customWidth="1"/>
    <col min="10751" max="10751" width="6.85546875" style="16" customWidth="1"/>
    <col min="10752" max="10752" width="38" style="16" customWidth="1"/>
    <col min="10753" max="10753" width="14.5703125" style="16" customWidth="1"/>
    <col min="10754" max="10754" width="13.42578125" style="16" customWidth="1"/>
    <col min="10755" max="10755" width="11.5703125" style="16" customWidth="1"/>
    <col min="10756" max="11005" width="9.140625" style="16"/>
    <col min="11006" max="11006" width="4.28515625" style="16" customWidth="1"/>
    <col min="11007" max="11007" width="6.85546875" style="16" customWidth="1"/>
    <col min="11008" max="11008" width="38" style="16" customWidth="1"/>
    <col min="11009" max="11009" width="14.5703125" style="16" customWidth="1"/>
    <col min="11010" max="11010" width="13.42578125" style="16" customWidth="1"/>
    <col min="11011" max="11011" width="11.5703125" style="16" customWidth="1"/>
    <col min="11012" max="11261" width="9.140625" style="16"/>
    <col min="11262" max="11262" width="4.28515625" style="16" customWidth="1"/>
    <col min="11263" max="11263" width="6.85546875" style="16" customWidth="1"/>
    <col min="11264" max="11264" width="38" style="16" customWidth="1"/>
    <col min="11265" max="11265" width="14.5703125" style="16" customWidth="1"/>
    <col min="11266" max="11266" width="13.42578125" style="16" customWidth="1"/>
    <col min="11267" max="11267" width="11.5703125" style="16" customWidth="1"/>
    <col min="11268" max="11517" width="9.140625" style="16"/>
    <col min="11518" max="11518" width="4.28515625" style="16" customWidth="1"/>
    <col min="11519" max="11519" width="6.85546875" style="16" customWidth="1"/>
    <col min="11520" max="11520" width="38" style="16" customWidth="1"/>
    <col min="11521" max="11521" width="14.5703125" style="16" customWidth="1"/>
    <col min="11522" max="11522" width="13.42578125" style="16" customWidth="1"/>
    <col min="11523" max="11523" width="11.5703125" style="16" customWidth="1"/>
    <col min="11524" max="11773" width="9.140625" style="16"/>
    <col min="11774" max="11774" width="4.28515625" style="16" customWidth="1"/>
    <col min="11775" max="11775" width="6.85546875" style="16" customWidth="1"/>
    <col min="11776" max="11776" width="38" style="16" customWidth="1"/>
    <col min="11777" max="11777" width="14.5703125" style="16" customWidth="1"/>
    <col min="11778" max="11778" width="13.42578125" style="16" customWidth="1"/>
    <col min="11779" max="11779" width="11.5703125" style="16" customWidth="1"/>
    <col min="11780" max="12029" width="9.140625" style="16"/>
    <col min="12030" max="12030" width="4.28515625" style="16" customWidth="1"/>
    <col min="12031" max="12031" width="6.85546875" style="16" customWidth="1"/>
    <col min="12032" max="12032" width="38" style="16" customWidth="1"/>
    <col min="12033" max="12033" width="14.5703125" style="16" customWidth="1"/>
    <col min="12034" max="12034" width="13.42578125" style="16" customWidth="1"/>
    <col min="12035" max="12035" width="11.5703125" style="16" customWidth="1"/>
    <col min="12036" max="12285" width="9.140625" style="16"/>
    <col min="12286" max="12286" width="4.28515625" style="16" customWidth="1"/>
    <col min="12287" max="12287" width="6.85546875" style="16" customWidth="1"/>
    <col min="12288" max="12288" width="38" style="16" customWidth="1"/>
    <col min="12289" max="12289" width="14.5703125" style="16" customWidth="1"/>
    <col min="12290" max="12290" width="13.42578125" style="16" customWidth="1"/>
    <col min="12291" max="12291" width="11.5703125" style="16" customWidth="1"/>
    <col min="12292" max="12541" width="9.140625" style="16"/>
    <col min="12542" max="12542" width="4.28515625" style="16" customWidth="1"/>
    <col min="12543" max="12543" width="6.85546875" style="16" customWidth="1"/>
    <col min="12544" max="12544" width="38" style="16" customWidth="1"/>
    <col min="12545" max="12545" width="14.5703125" style="16" customWidth="1"/>
    <col min="12546" max="12546" width="13.42578125" style="16" customWidth="1"/>
    <col min="12547" max="12547" width="11.5703125" style="16" customWidth="1"/>
    <col min="12548" max="12797" width="9.140625" style="16"/>
    <col min="12798" max="12798" width="4.28515625" style="16" customWidth="1"/>
    <col min="12799" max="12799" width="6.85546875" style="16" customWidth="1"/>
    <col min="12800" max="12800" width="38" style="16" customWidth="1"/>
    <col min="12801" max="12801" width="14.5703125" style="16" customWidth="1"/>
    <col min="12802" max="12802" width="13.42578125" style="16" customWidth="1"/>
    <col min="12803" max="12803" width="11.5703125" style="16" customWidth="1"/>
    <col min="12804" max="13053" width="9.140625" style="16"/>
    <col min="13054" max="13054" width="4.28515625" style="16" customWidth="1"/>
    <col min="13055" max="13055" width="6.85546875" style="16" customWidth="1"/>
    <col min="13056" max="13056" width="38" style="16" customWidth="1"/>
    <col min="13057" max="13057" width="14.5703125" style="16" customWidth="1"/>
    <col min="13058" max="13058" width="13.42578125" style="16" customWidth="1"/>
    <col min="13059" max="13059" width="11.5703125" style="16" customWidth="1"/>
    <col min="13060" max="13309" width="9.140625" style="16"/>
    <col min="13310" max="13310" width="4.28515625" style="16" customWidth="1"/>
    <col min="13311" max="13311" width="6.85546875" style="16" customWidth="1"/>
    <col min="13312" max="13312" width="38" style="16" customWidth="1"/>
    <col min="13313" max="13313" width="14.5703125" style="16" customWidth="1"/>
    <col min="13314" max="13314" width="13.42578125" style="16" customWidth="1"/>
    <col min="13315" max="13315" width="11.5703125" style="16" customWidth="1"/>
    <col min="13316" max="13565" width="9.140625" style="16"/>
    <col min="13566" max="13566" width="4.28515625" style="16" customWidth="1"/>
    <col min="13567" max="13567" width="6.85546875" style="16" customWidth="1"/>
    <col min="13568" max="13568" width="38" style="16" customWidth="1"/>
    <col min="13569" max="13569" width="14.5703125" style="16" customWidth="1"/>
    <col min="13570" max="13570" width="13.42578125" style="16" customWidth="1"/>
    <col min="13571" max="13571" width="11.5703125" style="16" customWidth="1"/>
    <col min="13572" max="13821" width="9.140625" style="16"/>
    <col min="13822" max="13822" width="4.28515625" style="16" customWidth="1"/>
    <col min="13823" max="13823" width="6.85546875" style="16" customWidth="1"/>
    <col min="13824" max="13824" width="38" style="16" customWidth="1"/>
    <col min="13825" max="13825" width="14.5703125" style="16" customWidth="1"/>
    <col min="13826" max="13826" width="13.42578125" style="16" customWidth="1"/>
    <col min="13827" max="13827" width="11.5703125" style="16" customWidth="1"/>
    <col min="13828" max="14077" width="9.140625" style="16"/>
    <col min="14078" max="14078" width="4.28515625" style="16" customWidth="1"/>
    <col min="14079" max="14079" width="6.85546875" style="16" customWidth="1"/>
    <col min="14080" max="14080" width="38" style="16" customWidth="1"/>
    <col min="14081" max="14081" width="14.5703125" style="16" customWidth="1"/>
    <col min="14082" max="14082" width="13.42578125" style="16" customWidth="1"/>
    <col min="14083" max="14083" width="11.5703125" style="16" customWidth="1"/>
    <col min="14084" max="14333" width="9.140625" style="16"/>
    <col min="14334" max="14334" width="4.28515625" style="16" customWidth="1"/>
    <col min="14335" max="14335" width="6.85546875" style="16" customWidth="1"/>
    <col min="14336" max="14336" width="38" style="16" customWidth="1"/>
    <col min="14337" max="14337" width="14.5703125" style="16" customWidth="1"/>
    <col min="14338" max="14338" width="13.42578125" style="16" customWidth="1"/>
    <col min="14339" max="14339" width="11.5703125" style="16" customWidth="1"/>
    <col min="14340" max="14589" width="9.140625" style="16"/>
    <col min="14590" max="14590" width="4.28515625" style="16" customWidth="1"/>
    <col min="14591" max="14591" width="6.85546875" style="16" customWidth="1"/>
    <col min="14592" max="14592" width="38" style="16" customWidth="1"/>
    <col min="14593" max="14593" width="14.5703125" style="16" customWidth="1"/>
    <col min="14594" max="14594" width="13.42578125" style="16" customWidth="1"/>
    <col min="14595" max="14595" width="11.5703125" style="16" customWidth="1"/>
    <col min="14596" max="14845" width="9.140625" style="16"/>
    <col min="14846" max="14846" width="4.28515625" style="16" customWidth="1"/>
    <col min="14847" max="14847" width="6.85546875" style="16" customWidth="1"/>
    <col min="14848" max="14848" width="38" style="16" customWidth="1"/>
    <col min="14849" max="14849" width="14.5703125" style="16" customWidth="1"/>
    <col min="14850" max="14850" width="13.42578125" style="16" customWidth="1"/>
    <col min="14851" max="14851" width="11.5703125" style="16" customWidth="1"/>
    <col min="14852" max="15101" width="9.140625" style="16"/>
    <col min="15102" max="15102" width="4.28515625" style="16" customWidth="1"/>
    <col min="15103" max="15103" width="6.85546875" style="16" customWidth="1"/>
    <col min="15104" max="15104" width="38" style="16" customWidth="1"/>
    <col min="15105" max="15105" width="14.5703125" style="16" customWidth="1"/>
    <col min="15106" max="15106" width="13.42578125" style="16" customWidth="1"/>
    <col min="15107" max="15107" width="11.5703125" style="16" customWidth="1"/>
    <col min="15108" max="15357" width="9.140625" style="16"/>
    <col min="15358" max="15358" width="4.28515625" style="16" customWidth="1"/>
    <col min="15359" max="15359" width="6.85546875" style="16" customWidth="1"/>
    <col min="15360" max="15360" width="38" style="16" customWidth="1"/>
    <col min="15361" max="15361" width="14.5703125" style="16" customWidth="1"/>
    <col min="15362" max="15362" width="13.42578125" style="16" customWidth="1"/>
    <col min="15363" max="15363" width="11.5703125" style="16" customWidth="1"/>
    <col min="15364" max="15613" width="9.140625" style="16"/>
    <col min="15614" max="15614" width="4.28515625" style="16" customWidth="1"/>
    <col min="15615" max="15615" width="6.85546875" style="16" customWidth="1"/>
    <col min="15616" max="15616" width="38" style="16" customWidth="1"/>
    <col min="15617" max="15617" width="14.5703125" style="16" customWidth="1"/>
    <col min="15618" max="15618" width="13.42578125" style="16" customWidth="1"/>
    <col min="15619" max="15619" width="11.5703125" style="16" customWidth="1"/>
    <col min="15620" max="15869" width="9.140625" style="16"/>
    <col min="15870" max="15870" width="4.28515625" style="16" customWidth="1"/>
    <col min="15871" max="15871" width="6.85546875" style="16" customWidth="1"/>
    <col min="15872" max="15872" width="38" style="16" customWidth="1"/>
    <col min="15873" max="15873" width="14.5703125" style="16" customWidth="1"/>
    <col min="15874" max="15874" width="13.42578125" style="16" customWidth="1"/>
    <col min="15875" max="15875" width="11.5703125" style="16" customWidth="1"/>
    <col min="15876" max="16125" width="9.140625" style="16"/>
    <col min="16126" max="16126" width="4.28515625" style="16" customWidth="1"/>
    <col min="16127" max="16127" width="6.85546875" style="16" customWidth="1"/>
    <col min="16128" max="16128" width="38" style="16" customWidth="1"/>
    <col min="16129" max="16129" width="14.5703125" style="16" customWidth="1"/>
    <col min="16130" max="16130" width="13.42578125" style="16" customWidth="1"/>
    <col min="16131" max="16131" width="11.5703125" style="16" customWidth="1"/>
    <col min="16132" max="16384" width="9.140625" style="16"/>
  </cols>
  <sheetData>
    <row r="3" spans="1:6" x14ac:dyDescent="0.2">
      <c r="A3" s="104" t="s">
        <v>426</v>
      </c>
      <c r="B3" s="104"/>
      <c r="C3" s="104"/>
      <c r="D3" s="104"/>
      <c r="E3" s="104"/>
      <c r="F3" s="17"/>
    </row>
    <row r="4" spans="1:6" x14ac:dyDescent="0.2">
      <c r="A4" s="105" t="s">
        <v>364</v>
      </c>
      <c r="B4" s="105"/>
      <c r="C4" s="105"/>
      <c r="D4" s="105"/>
      <c r="E4" s="105"/>
      <c r="F4" s="17"/>
    </row>
    <row r="5" spans="1:6" x14ac:dyDescent="0.2">
      <c r="A5" s="18"/>
      <c r="B5" s="18"/>
      <c r="C5" s="18"/>
      <c r="D5" s="19"/>
      <c r="E5" s="17"/>
      <c r="F5" s="17"/>
    </row>
    <row r="6" spans="1:6" x14ac:dyDescent="0.2">
      <c r="A6" s="18"/>
      <c r="B6" s="18"/>
      <c r="C6" s="18"/>
      <c r="D6" s="20" t="s">
        <v>364</v>
      </c>
      <c r="E6" s="17"/>
      <c r="F6" s="17"/>
    </row>
    <row r="8" spans="1:6" x14ac:dyDescent="0.2">
      <c r="C8" s="21" t="s">
        <v>364</v>
      </c>
      <c r="D8" s="90">
        <v>2016</v>
      </c>
      <c r="E8" s="90">
        <v>2015</v>
      </c>
      <c r="F8" s="61" t="s">
        <v>477</v>
      </c>
    </row>
    <row r="9" spans="1:6" x14ac:dyDescent="0.2">
      <c r="A9" s="21" t="s">
        <v>427</v>
      </c>
      <c r="E9" s="22"/>
    </row>
    <row r="10" spans="1:6" x14ac:dyDescent="0.2">
      <c r="E10" s="22"/>
    </row>
    <row r="11" spans="1:6" x14ac:dyDescent="0.2">
      <c r="B11" s="16" t="s">
        <v>7</v>
      </c>
      <c r="D11" s="23">
        <f>+PT!G5</f>
        <v>1025581</v>
      </c>
      <c r="E11" s="23">
        <f>907721+617105</f>
        <v>1524826</v>
      </c>
    </row>
    <row r="12" spans="1:6" x14ac:dyDescent="0.2">
      <c r="B12" s="24" t="s">
        <v>18</v>
      </c>
      <c r="D12" s="26">
        <f>+PT!G6</f>
        <v>617982</v>
      </c>
      <c r="E12" s="26">
        <v>0</v>
      </c>
      <c r="F12" s="89">
        <f>+D12+D11-E11</f>
        <v>118737</v>
      </c>
    </row>
    <row r="13" spans="1:6" x14ac:dyDescent="0.2">
      <c r="B13" s="24" t="s">
        <v>428</v>
      </c>
      <c r="D13" s="25">
        <f>+PT!G7</f>
        <v>30853</v>
      </c>
      <c r="E13" s="25">
        <v>12223</v>
      </c>
      <c r="F13" s="65">
        <f>+E13-D13</f>
        <v>-18630</v>
      </c>
    </row>
    <row r="14" spans="1:6" x14ac:dyDescent="0.2">
      <c r="B14" s="16" t="s">
        <v>429</v>
      </c>
      <c r="D14" s="25">
        <f>+PT!G8</f>
        <v>20140</v>
      </c>
      <c r="E14" s="25">
        <v>823668</v>
      </c>
      <c r="F14" s="65">
        <f>+E14-D14</f>
        <v>803528</v>
      </c>
    </row>
    <row r="15" spans="1:6" x14ac:dyDescent="0.2">
      <c r="B15" s="16" t="s">
        <v>430</v>
      </c>
      <c r="D15" s="25">
        <f>+PT!G9</f>
        <v>96888</v>
      </c>
      <c r="E15" s="20">
        <v>112872</v>
      </c>
      <c r="F15" s="65">
        <f>+E15-D15</f>
        <v>15984</v>
      </c>
    </row>
    <row r="16" spans="1:6" hidden="1" x14ac:dyDescent="0.2">
      <c r="B16" s="24" t="s">
        <v>431</v>
      </c>
      <c r="D16" s="20">
        <v>0</v>
      </c>
      <c r="E16" s="20">
        <v>0</v>
      </c>
    </row>
    <row r="17" spans="1:6" x14ac:dyDescent="0.2">
      <c r="B17" s="16" t="s">
        <v>432</v>
      </c>
      <c r="D17" s="26">
        <f>+PT!G11</f>
        <v>36218</v>
      </c>
      <c r="E17" s="26">
        <v>19604</v>
      </c>
      <c r="F17" s="65">
        <f>+E17-D17</f>
        <v>-16614</v>
      </c>
    </row>
    <row r="18" spans="1:6" x14ac:dyDescent="0.2">
      <c r="D18" s="25"/>
      <c r="E18" s="25"/>
    </row>
    <row r="19" spans="1:6" x14ac:dyDescent="0.2">
      <c r="C19" s="16" t="s">
        <v>433</v>
      </c>
      <c r="D19" s="27">
        <f>SUM(D11:D17)</f>
        <v>1827662</v>
      </c>
      <c r="E19" s="27">
        <f>SUM(E11:E17)</f>
        <v>2493193</v>
      </c>
    </row>
    <row r="20" spans="1:6" x14ac:dyDescent="0.2">
      <c r="E20" s="22"/>
    </row>
    <row r="21" spans="1:6" x14ac:dyDescent="0.2">
      <c r="E21" s="22"/>
    </row>
    <row r="22" spans="1:6" x14ac:dyDescent="0.2">
      <c r="A22" s="21" t="s">
        <v>434</v>
      </c>
      <c r="E22" s="22"/>
    </row>
    <row r="23" spans="1:6" x14ac:dyDescent="0.2">
      <c r="E23" s="22"/>
    </row>
    <row r="24" spans="1:6" ht="15" customHeight="1" x14ac:dyDescent="0.2">
      <c r="B24" s="16" t="s">
        <v>52</v>
      </c>
      <c r="D24" s="86">
        <f>+PT!G13</f>
        <v>104792</v>
      </c>
      <c r="E24" s="28">
        <f>114550+19158</f>
        <v>133708</v>
      </c>
      <c r="F24" s="65">
        <f>+D24-E24</f>
        <v>-28916</v>
      </c>
    </row>
    <row r="25" spans="1:6" ht="15" customHeight="1" x14ac:dyDescent="0.2">
      <c r="B25" s="29" t="s">
        <v>435</v>
      </c>
      <c r="C25" s="22"/>
      <c r="D25" s="28">
        <f>+PT!G14</f>
        <v>94232</v>
      </c>
      <c r="E25" s="28">
        <v>263414</v>
      </c>
      <c r="F25" s="65">
        <f>+D25-E25</f>
        <v>-169182</v>
      </c>
    </row>
    <row r="26" spans="1:6" ht="15" customHeight="1" x14ac:dyDescent="0.2">
      <c r="B26" s="24" t="s">
        <v>436</v>
      </c>
      <c r="D26" s="28">
        <f>+PT!G15</f>
        <v>126729</v>
      </c>
      <c r="E26" s="31">
        <v>142962</v>
      </c>
      <c r="F26" s="65">
        <f>+D26-E26</f>
        <v>-16233</v>
      </c>
    </row>
    <row r="27" spans="1:6" ht="15" customHeight="1" x14ac:dyDescent="0.2">
      <c r="B27" s="16" t="s">
        <v>437</v>
      </c>
      <c r="D27" s="27">
        <f>+PT!G16</f>
        <v>112585</v>
      </c>
      <c r="E27" s="26">
        <v>126193</v>
      </c>
      <c r="F27" s="65">
        <f>+D27-E27</f>
        <v>-13608</v>
      </c>
    </row>
    <row r="28" spans="1:6" x14ac:dyDescent="0.2">
      <c r="E28" s="22"/>
    </row>
    <row r="29" spans="1:6" x14ac:dyDescent="0.2">
      <c r="C29" s="16" t="s">
        <v>438</v>
      </c>
      <c r="D29" s="26">
        <f>SUM(D24:D28)</f>
        <v>438338</v>
      </c>
      <c r="E29" s="26">
        <f>SUM(E24:E28)</f>
        <v>666277</v>
      </c>
    </row>
    <row r="30" spans="1:6" x14ac:dyDescent="0.2">
      <c r="D30" s="31"/>
      <c r="E30" s="31"/>
    </row>
    <row r="31" spans="1:6" hidden="1" x14ac:dyDescent="0.2">
      <c r="E31" s="22"/>
    </row>
    <row r="32" spans="1:6" x14ac:dyDescent="0.2">
      <c r="A32" s="21" t="s">
        <v>439</v>
      </c>
      <c r="D32" s="31"/>
      <c r="E32" s="31"/>
    </row>
    <row r="33" spans="1:6" x14ac:dyDescent="0.2">
      <c r="A33" s="21"/>
      <c r="B33" s="16" t="s">
        <v>440</v>
      </c>
      <c r="D33" s="26">
        <f>+'Rev &amp; Exp'!E60</f>
        <v>1389324</v>
      </c>
      <c r="E33" s="26">
        <f>+'Rev &amp; Exp'!F60</f>
        <v>1826916</v>
      </c>
      <c r="F33" s="65">
        <f>+D33-E33</f>
        <v>-437592</v>
      </c>
    </row>
    <row r="34" spans="1:6" x14ac:dyDescent="0.2">
      <c r="A34" s="21"/>
      <c r="D34" s="31"/>
      <c r="E34" s="31"/>
    </row>
    <row r="35" spans="1:6" ht="13.5" thickBot="1" x14ac:dyDescent="0.25">
      <c r="C35" s="16" t="s">
        <v>441</v>
      </c>
      <c r="D35" s="32">
        <f>+SUM(D33:D33)</f>
        <v>1389324</v>
      </c>
      <c r="E35" s="32">
        <f>+SUM(E33:E33)</f>
        <v>1826916</v>
      </c>
    </row>
    <row r="36" spans="1:6" ht="13.5" thickTop="1" x14ac:dyDescent="0.2">
      <c r="D36" s="33"/>
    </row>
    <row r="38" spans="1:6" x14ac:dyDescent="0.2">
      <c r="D38" s="34">
        <f>+D19-D29-D33</f>
        <v>0</v>
      </c>
    </row>
    <row r="41" spans="1:6" x14ac:dyDescent="0.2">
      <c r="D41" s="34">
        <f>+D19-D29-D33</f>
        <v>0</v>
      </c>
      <c r="E41" s="34">
        <f>+E19-E29-E33</f>
        <v>0</v>
      </c>
    </row>
  </sheetData>
  <mergeCells count="2">
    <mergeCell ref="A3:E3"/>
    <mergeCell ref="A4:E4"/>
  </mergeCells>
  <printOptions horizontalCentered="1"/>
  <pageMargins left="0.75" right="0.75" top="1" bottom="1" header="0.5" footer="0.5"/>
  <pageSetup orientation="portrait" verticalDpi="4294967293" r:id="rId1"/>
  <headerFooter scaleWithDoc="0" alignWithMargins="0">
    <oddHeader xml:space="preserve">&amp;C&amp;"Arial,Bold"  </oddHeader>
    <oddFooter xml:space="preserve">&amp;C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1"/>
  <sheetViews>
    <sheetView view="pageBreakPreview" zoomScale="110" zoomScaleNormal="100" zoomScaleSheetLayoutView="110" workbookViewId="0">
      <selection activeCell="A2" sqref="A2:XFD2"/>
    </sheetView>
  </sheetViews>
  <sheetFormatPr defaultRowHeight="12.75" x14ac:dyDescent="0.2"/>
  <cols>
    <col min="1" max="1" width="0.28515625" style="16" customWidth="1"/>
    <col min="2" max="2" width="6.85546875" style="16" hidden="1" customWidth="1"/>
    <col min="3" max="3" width="34.85546875" style="16" customWidth="1"/>
    <col min="4" max="4" width="8.28515625" style="16" hidden="1" customWidth="1"/>
    <col min="5" max="5" width="14" style="52" customWidth="1"/>
    <col min="6" max="6" width="15" style="37" customWidth="1"/>
    <col min="7" max="7" width="4.85546875" style="16" customWidth="1"/>
    <col min="8" max="8" width="9.140625" style="16"/>
    <col min="9" max="9" width="13.85546875" style="16" bestFit="1" customWidth="1"/>
    <col min="10" max="10" width="12" style="16" customWidth="1"/>
    <col min="11" max="246" width="9.140625" style="16"/>
    <col min="247" max="248" width="6.85546875" style="16" customWidth="1"/>
    <col min="249" max="249" width="29.28515625" style="16" customWidth="1"/>
    <col min="250" max="250" width="3.140625" style="16" customWidth="1"/>
    <col min="251" max="251" width="14" style="16" customWidth="1"/>
    <col min="252" max="252" width="15" style="16" customWidth="1"/>
    <col min="253" max="253" width="4.85546875" style="16" customWidth="1"/>
    <col min="254" max="254" width="11.28515625" style="16" customWidth="1"/>
    <col min="255" max="502" width="9.140625" style="16"/>
    <col min="503" max="504" width="6.85546875" style="16" customWidth="1"/>
    <col min="505" max="505" width="29.28515625" style="16" customWidth="1"/>
    <col min="506" max="506" width="3.140625" style="16" customWidth="1"/>
    <col min="507" max="507" width="14" style="16" customWidth="1"/>
    <col min="508" max="508" width="15" style="16" customWidth="1"/>
    <col min="509" max="509" width="4.85546875" style="16" customWidth="1"/>
    <col min="510" max="510" width="11.28515625" style="16" customWidth="1"/>
    <col min="511" max="758" width="9.140625" style="16"/>
    <col min="759" max="760" width="6.85546875" style="16" customWidth="1"/>
    <col min="761" max="761" width="29.28515625" style="16" customWidth="1"/>
    <col min="762" max="762" width="3.140625" style="16" customWidth="1"/>
    <col min="763" max="763" width="14" style="16" customWidth="1"/>
    <col min="764" max="764" width="15" style="16" customWidth="1"/>
    <col min="765" max="765" width="4.85546875" style="16" customWidth="1"/>
    <col min="766" max="766" width="11.28515625" style="16" customWidth="1"/>
    <col min="767" max="1014" width="9.140625" style="16"/>
    <col min="1015" max="1016" width="6.85546875" style="16" customWidth="1"/>
    <col min="1017" max="1017" width="29.28515625" style="16" customWidth="1"/>
    <col min="1018" max="1018" width="3.140625" style="16" customWidth="1"/>
    <col min="1019" max="1019" width="14" style="16" customWidth="1"/>
    <col min="1020" max="1020" width="15" style="16" customWidth="1"/>
    <col min="1021" max="1021" width="4.85546875" style="16" customWidth="1"/>
    <col min="1022" max="1022" width="11.28515625" style="16" customWidth="1"/>
    <col min="1023" max="1270" width="9.140625" style="16"/>
    <col min="1271" max="1272" width="6.85546875" style="16" customWidth="1"/>
    <col min="1273" max="1273" width="29.28515625" style="16" customWidth="1"/>
    <col min="1274" max="1274" width="3.140625" style="16" customWidth="1"/>
    <col min="1275" max="1275" width="14" style="16" customWidth="1"/>
    <col min="1276" max="1276" width="15" style="16" customWidth="1"/>
    <col min="1277" max="1277" width="4.85546875" style="16" customWidth="1"/>
    <col min="1278" max="1278" width="11.28515625" style="16" customWidth="1"/>
    <col min="1279" max="1526" width="9.140625" style="16"/>
    <col min="1527" max="1528" width="6.85546875" style="16" customWidth="1"/>
    <col min="1529" max="1529" width="29.28515625" style="16" customWidth="1"/>
    <col min="1530" max="1530" width="3.140625" style="16" customWidth="1"/>
    <col min="1531" max="1531" width="14" style="16" customWidth="1"/>
    <col min="1532" max="1532" width="15" style="16" customWidth="1"/>
    <col min="1533" max="1533" width="4.85546875" style="16" customWidth="1"/>
    <col min="1534" max="1534" width="11.28515625" style="16" customWidth="1"/>
    <col min="1535" max="1782" width="9.140625" style="16"/>
    <col min="1783" max="1784" width="6.85546875" style="16" customWidth="1"/>
    <col min="1785" max="1785" width="29.28515625" style="16" customWidth="1"/>
    <col min="1786" max="1786" width="3.140625" style="16" customWidth="1"/>
    <col min="1787" max="1787" width="14" style="16" customWidth="1"/>
    <col min="1788" max="1788" width="15" style="16" customWidth="1"/>
    <col min="1789" max="1789" width="4.85546875" style="16" customWidth="1"/>
    <col min="1790" max="1790" width="11.28515625" style="16" customWidth="1"/>
    <col min="1791" max="2038" width="9.140625" style="16"/>
    <col min="2039" max="2040" width="6.85546875" style="16" customWidth="1"/>
    <col min="2041" max="2041" width="29.28515625" style="16" customWidth="1"/>
    <col min="2042" max="2042" width="3.140625" style="16" customWidth="1"/>
    <col min="2043" max="2043" width="14" style="16" customWidth="1"/>
    <col min="2044" max="2044" width="15" style="16" customWidth="1"/>
    <col min="2045" max="2045" width="4.85546875" style="16" customWidth="1"/>
    <col min="2046" max="2046" width="11.28515625" style="16" customWidth="1"/>
    <col min="2047" max="2294" width="9.140625" style="16"/>
    <col min="2295" max="2296" width="6.85546875" style="16" customWidth="1"/>
    <col min="2297" max="2297" width="29.28515625" style="16" customWidth="1"/>
    <col min="2298" max="2298" width="3.140625" style="16" customWidth="1"/>
    <col min="2299" max="2299" width="14" style="16" customWidth="1"/>
    <col min="2300" max="2300" width="15" style="16" customWidth="1"/>
    <col min="2301" max="2301" width="4.85546875" style="16" customWidth="1"/>
    <col min="2302" max="2302" width="11.28515625" style="16" customWidth="1"/>
    <col min="2303" max="2550" width="9.140625" style="16"/>
    <col min="2551" max="2552" width="6.85546875" style="16" customWidth="1"/>
    <col min="2553" max="2553" width="29.28515625" style="16" customWidth="1"/>
    <col min="2554" max="2554" width="3.140625" style="16" customWidth="1"/>
    <col min="2555" max="2555" width="14" style="16" customWidth="1"/>
    <col min="2556" max="2556" width="15" style="16" customWidth="1"/>
    <col min="2557" max="2557" width="4.85546875" style="16" customWidth="1"/>
    <col min="2558" max="2558" width="11.28515625" style="16" customWidth="1"/>
    <col min="2559" max="2806" width="9.140625" style="16"/>
    <col min="2807" max="2808" width="6.85546875" style="16" customWidth="1"/>
    <col min="2809" max="2809" width="29.28515625" style="16" customWidth="1"/>
    <col min="2810" max="2810" width="3.140625" style="16" customWidth="1"/>
    <col min="2811" max="2811" width="14" style="16" customWidth="1"/>
    <col min="2812" max="2812" width="15" style="16" customWidth="1"/>
    <col min="2813" max="2813" width="4.85546875" style="16" customWidth="1"/>
    <col min="2814" max="2814" width="11.28515625" style="16" customWidth="1"/>
    <col min="2815" max="3062" width="9.140625" style="16"/>
    <col min="3063" max="3064" width="6.85546875" style="16" customWidth="1"/>
    <col min="3065" max="3065" width="29.28515625" style="16" customWidth="1"/>
    <col min="3066" max="3066" width="3.140625" style="16" customWidth="1"/>
    <col min="3067" max="3067" width="14" style="16" customWidth="1"/>
    <col min="3068" max="3068" width="15" style="16" customWidth="1"/>
    <col min="3069" max="3069" width="4.85546875" style="16" customWidth="1"/>
    <col min="3070" max="3070" width="11.28515625" style="16" customWidth="1"/>
    <col min="3071" max="3318" width="9.140625" style="16"/>
    <col min="3319" max="3320" width="6.85546875" style="16" customWidth="1"/>
    <col min="3321" max="3321" width="29.28515625" style="16" customWidth="1"/>
    <col min="3322" max="3322" width="3.140625" style="16" customWidth="1"/>
    <col min="3323" max="3323" width="14" style="16" customWidth="1"/>
    <col min="3324" max="3324" width="15" style="16" customWidth="1"/>
    <col min="3325" max="3325" width="4.85546875" style="16" customWidth="1"/>
    <col min="3326" max="3326" width="11.28515625" style="16" customWidth="1"/>
    <col min="3327" max="3574" width="9.140625" style="16"/>
    <col min="3575" max="3576" width="6.85546875" style="16" customWidth="1"/>
    <col min="3577" max="3577" width="29.28515625" style="16" customWidth="1"/>
    <col min="3578" max="3578" width="3.140625" style="16" customWidth="1"/>
    <col min="3579" max="3579" width="14" style="16" customWidth="1"/>
    <col min="3580" max="3580" width="15" style="16" customWidth="1"/>
    <col min="3581" max="3581" width="4.85546875" style="16" customWidth="1"/>
    <col min="3582" max="3582" width="11.28515625" style="16" customWidth="1"/>
    <col min="3583" max="3830" width="9.140625" style="16"/>
    <col min="3831" max="3832" width="6.85546875" style="16" customWidth="1"/>
    <col min="3833" max="3833" width="29.28515625" style="16" customWidth="1"/>
    <col min="3834" max="3834" width="3.140625" style="16" customWidth="1"/>
    <col min="3835" max="3835" width="14" style="16" customWidth="1"/>
    <col min="3836" max="3836" width="15" style="16" customWidth="1"/>
    <col min="3837" max="3837" width="4.85546875" style="16" customWidth="1"/>
    <col min="3838" max="3838" width="11.28515625" style="16" customWidth="1"/>
    <col min="3839" max="4086" width="9.140625" style="16"/>
    <col min="4087" max="4088" width="6.85546875" style="16" customWidth="1"/>
    <col min="4089" max="4089" width="29.28515625" style="16" customWidth="1"/>
    <col min="4090" max="4090" width="3.140625" style="16" customWidth="1"/>
    <col min="4091" max="4091" width="14" style="16" customWidth="1"/>
    <col min="4092" max="4092" width="15" style="16" customWidth="1"/>
    <col min="4093" max="4093" width="4.85546875" style="16" customWidth="1"/>
    <col min="4094" max="4094" width="11.28515625" style="16" customWidth="1"/>
    <col min="4095" max="4342" width="9.140625" style="16"/>
    <col min="4343" max="4344" width="6.85546875" style="16" customWidth="1"/>
    <col min="4345" max="4345" width="29.28515625" style="16" customWidth="1"/>
    <col min="4346" max="4346" width="3.140625" style="16" customWidth="1"/>
    <col min="4347" max="4347" width="14" style="16" customWidth="1"/>
    <col min="4348" max="4348" width="15" style="16" customWidth="1"/>
    <col min="4349" max="4349" width="4.85546875" style="16" customWidth="1"/>
    <col min="4350" max="4350" width="11.28515625" style="16" customWidth="1"/>
    <col min="4351" max="4598" width="9.140625" style="16"/>
    <col min="4599" max="4600" width="6.85546875" style="16" customWidth="1"/>
    <col min="4601" max="4601" width="29.28515625" style="16" customWidth="1"/>
    <col min="4602" max="4602" width="3.140625" style="16" customWidth="1"/>
    <col min="4603" max="4603" width="14" style="16" customWidth="1"/>
    <col min="4604" max="4604" width="15" style="16" customWidth="1"/>
    <col min="4605" max="4605" width="4.85546875" style="16" customWidth="1"/>
    <col min="4606" max="4606" width="11.28515625" style="16" customWidth="1"/>
    <col min="4607" max="4854" width="9.140625" style="16"/>
    <col min="4855" max="4856" width="6.85546875" style="16" customWidth="1"/>
    <col min="4857" max="4857" width="29.28515625" style="16" customWidth="1"/>
    <col min="4858" max="4858" width="3.140625" style="16" customWidth="1"/>
    <col min="4859" max="4859" width="14" style="16" customWidth="1"/>
    <col min="4860" max="4860" width="15" style="16" customWidth="1"/>
    <col min="4861" max="4861" width="4.85546875" style="16" customWidth="1"/>
    <col min="4862" max="4862" width="11.28515625" style="16" customWidth="1"/>
    <col min="4863" max="5110" width="9.140625" style="16"/>
    <col min="5111" max="5112" width="6.85546875" style="16" customWidth="1"/>
    <col min="5113" max="5113" width="29.28515625" style="16" customWidth="1"/>
    <col min="5114" max="5114" width="3.140625" style="16" customWidth="1"/>
    <col min="5115" max="5115" width="14" style="16" customWidth="1"/>
    <col min="5116" max="5116" width="15" style="16" customWidth="1"/>
    <col min="5117" max="5117" width="4.85546875" style="16" customWidth="1"/>
    <col min="5118" max="5118" width="11.28515625" style="16" customWidth="1"/>
    <col min="5119" max="5366" width="9.140625" style="16"/>
    <col min="5367" max="5368" width="6.85546875" style="16" customWidth="1"/>
    <col min="5369" max="5369" width="29.28515625" style="16" customWidth="1"/>
    <col min="5370" max="5370" width="3.140625" style="16" customWidth="1"/>
    <col min="5371" max="5371" width="14" style="16" customWidth="1"/>
    <col min="5372" max="5372" width="15" style="16" customWidth="1"/>
    <col min="5373" max="5373" width="4.85546875" style="16" customWidth="1"/>
    <col min="5374" max="5374" width="11.28515625" style="16" customWidth="1"/>
    <col min="5375" max="5622" width="9.140625" style="16"/>
    <col min="5623" max="5624" width="6.85546875" style="16" customWidth="1"/>
    <col min="5625" max="5625" width="29.28515625" style="16" customWidth="1"/>
    <col min="5626" max="5626" width="3.140625" style="16" customWidth="1"/>
    <col min="5627" max="5627" width="14" style="16" customWidth="1"/>
    <col min="5628" max="5628" width="15" style="16" customWidth="1"/>
    <col min="5629" max="5629" width="4.85546875" style="16" customWidth="1"/>
    <col min="5630" max="5630" width="11.28515625" style="16" customWidth="1"/>
    <col min="5631" max="5878" width="9.140625" style="16"/>
    <col min="5879" max="5880" width="6.85546875" style="16" customWidth="1"/>
    <col min="5881" max="5881" width="29.28515625" style="16" customWidth="1"/>
    <col min="5882" max="5882" width="3.140625" style="16" customWidth="1"/>
    <col min="5883" max="5883" width="14" style="16" customWidth="1"/>
    <col min="5884" max="5884" width="15" style="16" customWidth="1"/>
    <col min="5885" max="5885" width="4.85546875" style="16" customWidth="1"/>
    <col min="5886" max="5886" width="11.28515625" style="16" customWidth="1"/>
    <col min="5887" max="6134" width="9.140625" style="16"/>
    <col min="6135" max="6136" width="6.85546875" style="16" customWidth="1"/>
    <col min="6137" max="6137" width="29.28515625" style="16" customWidth="1"/>
    <col min="6138" max="6138" width="3.140625" style="16" customWidth="1"/>
    <col min="6139" max="6139" width="14" style="16" customWidth="1"/>
    <col min="6140" max="6140" width="15" style="16" customWidth="1"/>
    <col min="6141" max="6141" width="4.85546875" style="16" customWidth="1"/>
    <col min="6142" max="6142" width="11.28515625" style="16" customWidth="1"/>
    <col min="6143" max="6390" width="9.140625" style="16"/>
    <col min="6391" max="6392" width="6.85546875" style="16" customWidth="1"/>
    <col min="6393" max="6393" width="29.28515625" style="16" customWidth="1"/>
    <col min="6394" max="6394" width="3.140625" style="16" customWidth="1"/>
    <col min="6395" max="6395" width="14" style="16" customWidth="1"/>
    <col min="6396" max="6396" width="15" style="16" customWidth="1"/>
    <col min="6397" max="6397" width="4.85546875" style="16" customWidth="1"/>
    <col min="6398" max="6398" width="11.28515625" style="16" customWidth="1"/>
    <col min="6399" max="6646" width="9.140625" style="16"/>
    <col min="6647" max="6648" width="6.85546875" style="16" customWidth="1"/>
    <col min="6649" max="6649" width="29.28515625" style="16" customWidth="1"/>
    <col min="6650" max="6650" width="3.140625" style="16" customWidth="1"/>
    <col min="6651" max="6651" width="14" style="16" customWidth="1"/>
    <col min="6652" max="6652" width="15" style="16" customWidth="1"/>
    <col min="6653" max="6653" width="4.85546875" style="16" customWidth="1"/>
    <col min="6654" max="6654" width="11.28515625" style="16" customWidth="1"/>
    <col min="6655" max="6902" width="9.140625" style="16"/>
    <col min="6903" max="6904" width="6.85546875" style="16" customWidth="1"/>
    <col min="6905" max="6905" width="29.28515625" style="16" customWidth="1"/>
    <col min="6906" max="6906" width="3.140625" style="16" customWidth="1"/>
    <col min="6907" max="6907" width="14" style="16" customWidth="1"/>
    <col min="6908" max="6908" width="15" style="16" customWidth="1"/>
    <col min="6909" max="6909" width="4.85546875" style="16" customWidth="1"/>
    <col min="6910" max="6910" width="11.28515625" style="16" customWidth="1"/>
    <col min="6911" max="7158" width="9.140625" style="16"/>
    <col min="7159" max="7160" width="6.85546875" style="16" customWidth="1"/>
    <col min="7161" max="7161" width="29.28515625" style="16" customWidth="1"/>
    <col min="7162" max="7162" width="3.140625" style="16" customWidth="1"/>
    <col min="7163" max="7163" width="14" style="16" customWidth="1"/>
    <col min="7164" max="7164" width="15" style="16" customWidth="1"/>
    <col min="7165" max="7165" width="4.85546875" style="16" customWidth="1"/>
    <col min="7166" max="7166" width="11.28515625" style="16" customWidth="1"/>
    <col min="7167" max="7414" width="9.140625" style="16"/>
    <col min="7415" max="7416" width="6.85546875" style="16" customWidth="1"/>
    <col min="7417" max="7417" width="29.28515625" style="16" customWidth="1"/>
    <col min="7418" max="7418" width="3.140625" style="16" customWidth="1"/>
    <col min="7419" max="7419" width="14" style="16" customWidth="1"/>
    <col min="7420" max="7420" width="15" style="16" customWidth="1"/>
    <col min="7421" max="7421" width="4.85546875" style="16" customWidth="1"/>
    <col min="7422" max="7422" width="11.28515625" style="16" customWidth="1"/>
    <col min="7423" max="7670" width="9.140625" style="16"/>
    <col min="7671" max="7672" width="6.85546875" style="16" customWidth="1"/>
    <col min="7673" max="7673" width="29.28515625" style="16" customWidth="1"/>
    <col min="7674" max="7674" width="3.140625" style="16" customWidth="1"/>
    <col min="7675" max="7675" width="14" style="16" customWidth="1"/>
    <col min="7676" max="7676" width="15" style="16" customWidth="1"/>
    <col min="7677" max="7677" width="4.85546875" style="16" customWidth="1"/>
    <col min="7678" max="7678" width="11.28515625" style="16" customWidth="1"/>
    <col min="7679" max="7926" width="9.140625" style="16"/>
    <col min="7927" max="7928" width="6.85546875" style="16" customWidth="1"/>
    <col min="7929" max="7929" width="29.28515625" style="16" customWidth="1"/>
    <col min="7930" max="7930" width="3.140625" style="16" customWidth="1"/>
    <col min="7931" max="7931" width="14" style="16" customWidth="1"/>
    <col min="7932" max="7932" width="15" style="16" customWidth="1"/>
    <col min="7933" max="7933" width="4.85546875" style="16" customWidth="1"/>
    <col min="7934" max="7934" width="11.28515625" style="16" customWidth="1"/>
    <col min="7935" max="8182" width="9.140625" style="16"/>
    <col min="8183" max="8184" width="6.85546875" style="16" customWidth="1"/>
    <col min="8185" max="8185" width="29.28515625" style="16" customWidth="1"/>
    <col min="8186" max="8186" width="3.140625" style="16" customWidth="1"/>
    <col min="8187" max="8187" width="14" style="16" customWidth="1"/>
    <col min="8188" max="8188" width="15" style="16" customWidth="1"/>
    <col min="8189" max="8189" width="4.85546875" style="16" customWidth="1"/>
    <col min="8190" max="8190" width="11.28515625" style="16" customWidth="1"/>
    <col min="8191" max="8438" width="9.140625" style="16"/>
    <col min="8439" max="8440" width="6.85546875" style="16" customWidth="1"/>
    <col min="8441" max="8441" width="29.28515625" style="16" customWidth="1"/>
    <col min="8442" max="8442" width="3.140625" style="16" customWidth="1"/>
    <col min="8443" max="8443" width="14" style="16" customWidth="1"/>
    <col min="8444" max="8444" width="15" style="16" customWidth="1"/>
    <col min="8445" max="8445" width="4.85546875" style="16" customWidth="1"/>
    <col min="8446" max="8446" width="11.28515625" style="16" customWidth="1"/>
    <col min="8447" max="8694" width="9.140625" style="16"/>
    <col min="8695" max="8696" width="6.85546875" style="16" customWidth="1"/>
    <col min="8697" max="8697" width="29.28515625" style="16" customWidth="1"/>
    <col min="8698" max="8698" width="3.140625" style="16" customWidth="1"/>
    <col min="8699" max="8699" width="14" style="16" customWidth="1"/>
    <col min="8700" max="8700" width="15" style="16" customWidth="1"/>
    <col min="8701" max="8701" width="4.85546875" style="16" customWidth="1"/>
    <col min="8702" max="8702" width="11.28515625" style="16" customWidth="1"/>
    <col min="8703" max="8950" width="9.140625" style="16"/>
    <col min="8951" max="8952" width="6.85546875" style="16" customWidth="1"/>
    <col min="8953" max="8953" width="29.28515625" style="16" customWidth="1"/>
    <col min="8954" max="8954" width="3.140625" style="16" customWidth="1"/>
    <col min="8955" max="8955" width="14" style="16" customWidth="1"/>
    <col min="8956" max="8956" width="15" style="16" customWidth="1"/>
    <col min="8957" max="8957" width="4.85546875" style="16" customWidth="1"/>
    <col min="8958" max="8958" width="11.28515625" style="16" customWidth="1"/>
    <col min="8959" max="9206" width="9.140625" style="16"/>
    <col min="9207" max="9208" width="6.85546875" style="16" customWidth="1"/>
    <col min="9209" max="9209" width="29.28515625" style="16" customWidth="1"/>
    <col min="9210" max="9210" width="3.140625" style="16" customWidth="1"/>
    <col min="9211" max="9211" width="14" style="16" customWidth="1"/>
    <col min="9212" max="9212" width="15" style="16" customWidth="1"/>
    <col min="9213" max="9213" width="4.85546875" style="16" customWidth="1"/>
    <col min="9214" max="9214" width="11.28515625" style="16" customWidth="1"/>
    <col min="9215" max="9462" width="9.140625" style="16"/>
    <col min="9463" max="9464" width="6.85546875" style="16" customWidth="1"/>
    <col min="9465" max="9465" width="29.28515625" style="16" customWidth="1"/>
    <col min="9466" max="9466" width="3.140625" style="16" customWidth="1"/>
    <col min="9467" max="9467" width="14" style="16" customWidth="1"/>
    <col min="9468" max="9468" width="15" style="16" customWidth="1"/>
    <col min="9469" max="9469" width="4.85546875" style="16" customWidth="1"/>
    <col min="9470" max="9470" width="11.28515625" style="16" customWidth="1"/>
    <col min="9471" max="9718" width="9.140625" style="16"/>
    <col min="9719" max="9720" width="6.85546875" style="16" customWidth="1"/>
    <col min="9721" max="9721" width="29.28515625" style="16" customWidth="1"/>
    <col min="9722" max="9722" width="3.140625" style="16" customWidth="1"/>
    <col min="9723" max="9723" width="14" style="16" customWidth="1"/>
    <col min="9724" max="9724" width="15" style="16" customWidth="1"/>
    <col min="9725" max="9725" width="4.85546875" style="16" customWidth="1"/>
    <col min="9726" max="9726" width="11.28515625" style="16" customWidth="1"/>
    <col min="9727" max="9974" width="9.140625" style="16"/>
    <col min="9975" max="9976" width="6.85546875" style="16" customWidth="1"/>
    <col min="9977" max="9977" width="29.28515625" style="16" customWidth="1"/>
    <col min="9978" max="9978" width="3.140625" style="16" customWidth="1"/>
    <col min="9979" max="9979" width="14" style="16" customWidth="1"/>
    <col min="9980" max="9980" width="15" style="16" customWidth="1"/>
    <col min="9981" max="9981" width="4.85546875" style="16" customWidth="1"/>
    <col min="9982" max="9982" width="11.28515625" style="16" customWidth="1"/>
    <col min="9983" max="10230" width="9.140625" style="16"/>
    <col min="10231" max="10232" width="6.85546875" style="16" customWidth="1"/>
    <col min="10233" max="10233" width="29.28515625" style="16" customWidth="1"/>
    <col min="10234" max="10234" width="3.140625" style="16" customWidth="1"/>
    <col min="10235" max="10235" width="14" style="16" customWidth="1"/>
    <col min="10236" max="10236" width="15" style="16" customWidth="1"/>
    <col min="10237" max="10237" width="4.85546875" style="16" customWidth="1"/>
    <col min="10238" max="10238" width="11.28515625" style="16" customWidth="1"/>
    <col min="10239" max="10486" width="9.140625" style="16"/>
    <col min="10487" max="10488" width="6.85546875" style="16" customWidth="1"/>
    <col min="10489" max="10489" width="29.28515625" style="16" customWidth="1"/>
    <col min="10490" max="10490" width="3.140625" style="16" customWidth="1"/>
    <col min="10491" max="10491" width="14" style="16" customWidth="1"/>
    <col min="10492" max="10492" width="15" style="16" customWidth="1"/>
    <col min="10493" max="10493" width="4.85546875" style="16" customWidth="1"/>
    <col min="10494" max="10494" width="11.28515625" style="16" customWidth="1"/>
    <col min="10495" max="10742" width="9.140625" style="16"/>
    <col min="10743" max="10744" width="6.85546875" style="16" customWidth="1"/>
    <col min="10745" max="10745" width="29.28515625" style="16" customWidth="1"/>
    <col min="10746" max="10746" width="3.140625" style="16" customWidth="1"/>
    <col min="10747" max="10747" width="14" style="16" customWidth="1"/>
    <col min="10748" max="10748" width="15" style="16" customWidth="1"/>
    <col min="10749" max="10749" width="4.85546875" style="16" customWidth="1"/>
    <col min="10750" max="10750" width="11.28515625" style="16" customWidth="1"/>
    <col min="10751" max="10998" width="9.140625" style="16"/>
    <col min="10999" max="11000" width="6.85546875" style="16" customWidth="1"/>
    <col min="11001" max="11001" width="29.28515625" style="16" customWidth="1"/>
    <col min="11002" max="11002" width="3.140625" style="16" customWidth="1"/>
    <col min="11003" max="11003" width="14" style="16" customWidth="1"/>
    <col min="11004" max="11004" width="15" style="16" customWidth="1"/>
    <col min="11005" max="11005" width="4.85546875" style="16" customWidth="1"/>
    <col min="11006" max="11006" width="11.28515625" style="16" customWidth="1"/>
    <col min="11007" max="11254" width="9.140625" style="16"/>
    <col min="11255" max="11256" width="6.85546875" style="16" customWidth="1"/>
    <col min="11257" max="11257" width="29.28515625" style="16" customWidth="1"/>
    <col min="11258" max="11258" width="3.140625" style="16" customWidth="1"/>
    <col min="11259" max="11259" width="14" style="16" customWidth="1"/>
    <col min="11260" max="11260" width="15" style="16" customWidth="1"/>
    <col min="11261" max="11261" width="4.85546875" style="16" customWidth="1"/>
    <col min="11262" max="11262" width="11.28515625" style="16" customWidth="1"/>
    <col min="11263" max="11510" width="9.140625" style="16"/>
    <col min="11511" max="11512" width="6.85546875" style="16" customWidth="1"/>
    <col min="11513" max="11513" width="29.28515625" style="16" customWidth="1"/>
    <col min="11514" max="11514" width="3.140625" style="16" customWidth="1"/>
    <col min="11515" max="11515" width="14" style="16" customWidth="1"/>
    <col min="11516" max="11516" width="15" style="16" customWidth="1"/>
    <col min="11517" max="11517" width="4.85546875" style="16" customWidth="1"/>
    <col min="11518" max="11518" width="11.28515625" style="16" customWidth="1"/>
    <col min="11519" max="11766" width="9.140625" style="16"/>
    <col min="11767" max="11768" width="6.85546875" style="16" customWidth="1"/>
    <col min="11769" max="11769" width="29.28515625" style="16" customWidth="1"/>
    <col min="11770" max="11770" width="3.140625" style="16" customWidth="1"/>
    <col min="11771" max="11771" width="14" style="16" customWidth="1"/>
    <col min="11772" max="11772" width="15" style="16" customWidth="1"/>
    <col min="11773" max="11773" width="4.85546875" style="16" customWidth="1"/>
    <col min="11774" max="11774" width="11.28515625" style="16" customWidth="1"/>
    <col min="11775" max="12022" width="9.140625" style="16"/>
    <col min="12023" max="12024" width="6.85546875" style="16" customWidth="1"/>
    <col min="12025" max="12025" width="29.28515625" style="16" customWidth="1"/>
    <col min="12026" max="12026" width="3.140625" style="16" customWidth="1"/>
    <col min="12027" max="12027" width="14" style="16" customWidth="1"/>
    <col min="12028" max="12028" width="15" style="16" customWidth="1"/>
    <col min="12029" max="12029" width="4.85546875" style="16" customWidth="1"/>
    <col min="12030" max="12030" width="11.28515625" style="16" customWidth="1"/>
    <col min="12031" max="12278" width="9.140625" style="16"/>
    <col min="12279" max="12280" width="6.85546875" style="16" customWidth="1"/>
    <col min="12281" max="12281" width="29.28515625" style="16" customWidth="1"/>
    <col min="12282" max="12282" width="3.140625" style="16" customWidth="1"/>
    <col min="12283" max="12283" width="14" style="16" customWidth="1"/>
    <col min="12284" max="12284" width="15" style="16" customWidth="1"/>
    <col min="12285" max="12285" width="4.85546875" style="16" customWidth="1"/>
    <col min="12286" max="12286" width="11.28515625" style="16" customWidth="1"/>
    <col min="12287" max="12534" width="9.140625" style="16"/>
    <col min="12535" max="12536" width="6.85546875" style="16" customWidth="1"/>
    <col min="12537" max="12537" width="29.28515625" style="16" customWidth="1"/>
    <col min="12538" max="12538" width="3.140625" style="16" customWidth="1"/>
    <col min="12539" max="12539" width="14" style="16" customWidth="1"/>
    <col min="12540" max="12540" width="15" style="16" customWidth="1"/>
    <col min="12541" max="12541" width="4.85546875" style="16" customWidth="1"/>
    <col min="12542" max="12542" width="11.28515625" style="16" customWidth="1"/>
    <col min="12543" max="12790" width="9.140625" style="16"/>
    <col min="12791" max="12792" width="6.85546875" style="16" customWidth="1"/>
    <col min="12793" max="12793" width="29.28515625" style="16" customWidth="1"/>
    <col min="12794" max="12794" width="3.140625" style="16" customWidth="1"/>
    <col min="12795" max="12795" width="14" style="16" customWidth="1"/>
    <col min="12796" max="12796" width="15" style="16" customWidth="1"/>
    <col min="12797" max="12797" width="4.85546875" style="16" customWidth="1"/>
    <col min="12798" max="12798" width="11.28515625" style="16" customWidth="1"/>
    <col min="12799" max="13046" width="9.140625" style="16"/>
    <col min="13047" max="13048" width="6.85546875" style="16" customWidth="1"/>
    <col min="13049" max="13049" width="29.28515625" style="16" customWidth="1"/>
    <col min="13050" max="13050" width="3.140625" style="16" customWidth="1"/>
    <col min="13051" max="13051" width="14" style="16" customWidth="1"/>
    <col min="13052" max="13052" width="15" style="16" customWidth="1"/>
    <col min="13053" max="13053" width="4.85546875" style="16" customWidth="1"/>
    <col min="13054" max="13054" width="11.28515625" style="16" customWidth="1"/>
    <col min="13055" max="13302" width="9.140625" style="16"/>
    <col min="13303" max="13304" width="6.85546875" style="16" customWidth="1"/>
    <col min="13305" max="13305" width="29.28515625" style="16" customWidth="1"/>
    <col min="13306" max="13306" width="3.140625" style="16" customWidth="1"/>
    <col min="13307" max="13307" width="14" style="16" customWidth="1"/>
    <col min="13308" max="13308" width="15" style="16" customWidth="1"/>
    <col min="13309" max="13309" width="4.85546875" style="16" customWidth="1"/>
    <col min="13310" max="13310" width="11.28515625" style="16" customWidth="1"/>
    <col min="13311" max="13558" width="9.140625" style="16"/>
    <col min="13559" max="13560" width="6.85546875" style="16" customWidth="1"/>
    <col min="13561" max="13561" width="29.28515625" style="16" customWidth="1"/>
    <col min="13562" max="13562" width="3.140625" style="16" customWidth="1"/>
    <col min="13563" max="13563" width="14" style="16" customWidth="1"/>
    <col min="13564" max="13564" width="15" style="16" customWidth="1"/>
    <col min="13565" max="13565" width="4.85546875" style="16" customWidth="1"/>
    <col min="13566" max="13566" width="11.28515625" style="16" customWidth="1"/>
    <col min="13567" max="13814" width="9.140625" style="16"/>
    <col min="13815" max="13816" width="6.85546875" style="16" customWidth="1"/>
    <col min="13817" max="13817" width="29.28515625" style="16" customWidth="1"/>
    <col min="13818" max="13818" width="3.140625" style="16" customWidth="1"/>
    <col min="13819" max="13819" width="14" style="16" customWidth="1"/>
    <col min="13820" max="13820" width="15" style="16" customWidth="1"/>
    <col min="13821" max="13821" width="4.85546875" style="16" customWidth="1"/>
    <col min="13822" max="13822" width="11.28515625" style="16" customWidth="1"/>
    <col min="13823" max="14070" width="9.140625" style="16"/>
    <col min="14071" max="14072" width="6.85546875" style="16" customWidth="1"/>
    <col min="14073" max="14073" width="29.28515625" style="16" customWidth="1"/>
    <col min="14074" max="14074" width="3.140625" style="16" customWidth="1"/>
    <col min="14075" max="14075" width="14" style="16" customWidth="1"/>
    <col min="14076" max="14076" width="15" style="16" customWidth="1"/>
    <col min="14077" max="14077" width="4.85546875" style="16" customWidth="1"/>
    <col min="14078" max="14078" width="11.28515625" style="16" customWidth="1"/>
    <col min="14079" max="14326" width="9.140625" style="16"/>
    <col min="14327" max="14328" width="6.85546875" style="16" customWidth="1"/>
    <col min="14329" max="14329" width="29.28515625" style="16" customWidth="1"/>
    <col min="14330" max="14330" width="3.140625" style="16" customWidth="1"/>
    <col min="14331" max="14331" width="14" style="16" customWidth="1"/>
    <col min="14332" max="14332" width="15" style="16" customWidth="1"/>
    <col min="14333" max="14333" width="4.85546875" style="16" customWidth="1"/>
    <col min="14334" max="14334" width="11.28515625" style="16" customWidth="1"/>
    <col min="14335" max="14582" width="9.140625" style="16"/>
    <col min="14583" max="14584" width="6.85546875" style="16" customWidth="1"/>
    <col min="14585" max="14585" width="29.28515625" style="16" customWidth="1"/>
    <col min="14586" max="14586" width="3.140625" style="16" customWidth="1"/>
    <col min="14587" max="14587" width="14" style="16" customWidth="1"/>
    <col min="14588" max="14588" width="15" style="16" customWidth="1"/>
    <col min="14589" max="14589" width="4.85546875" style="16" customWidth="1"/>
    <col min="14590" max="14590" width="11.28515625" style="16" customWidth="1"/>
    <col min="14591" max="14838" width="9.140625" style="16"/>
    <col min="14839" max="14840" width="6.85546875" style="16" customWidth="1"/>
    <col min="14841" max="14841" width="29.28515625" style="16" customWidth="1"/>
    <col min="14842" max="14842" width="3.140625" style="16" customWidth="1"/>
    <col min="14843" max="14843" width="14" style="16" customWidth="1"/>
    <col min="14844" max="14844" width="15" style="16" customWidth="1"/>
    <col min="14845" max="14845" width="4.85546875" style="16" customWidth="1"/>
    <col min="14846" max="14846" width="11.28515625" style="16" customWidth="1"/>
    <col min="14847" max="15094" width="9.140625" style="16"/>
    <col min="15095" max="15096" width="6.85546875" style="16" customWidth="1"/>
    <col min="15097" max="15097" width="29.28515625" style="16" customWidth="1"/>
    <col min="15098" max="15098" width="3.140625" style="16" customWidth="1"/>
    <col min="15099" max="15099" width="14" style="16" customWidth="1"/>
    <col min="15100" max="15100" width="15" style="16" customWidth="1"/>
    <col min="15101" max="15101" width="4.85546875" style="16" customWidth="1"/>
    <col min="15102" max="15102" width="11.28515625" style="16" customWidth="1"/>
    <col min="15103" max="15350" width="9.140625" style="16"/>
    <col min="15351" max="15352" width="6.85546875" style="16" customWidth="1"/>
    <col min="15353" max="15353" width="29.28515625" style="16" customWidth="1"/>
    <col min="15354" max="15354" width="3.140625" style="16" customWidth="1"/>
    <col min="15355" max="15355" width="14" style="16" customWidth="1"/>
    <col min="15356" max="15356" width="15" style="16" customWidth="1"/>
    <col min="15357" max="15357" width="4.85546875" style="16" customWidth="1"/>
    <col min="15358" max="15358" width="11.28515625" style="16" customWidth="1"/>
    <col min="15359" max="15606" width="9.140625" style="16"/>
    <col min="15607" max="15608" width="6.85546875" style="16" customWidth="1"/>
    <col min="15609" max="15609" width="29.28515625" style="16" customWidth="1"/>
    <col min="15610" max="15610" width="3.140625" style="16" customWidth="1"/>
    <col min="15611" max="15611" width="14" style="16" customWidth="1"/>
    <col min="15612" max="15612" width="15" style="16" customWidth="1"/>
    <col min="15613" max="15613" width="4.85546875" style="16" customWidth="1"/>
    <col min="15614" max="15614" width="11.28515625" style="16" customWidth="1"/>
    <col min="15615" max="15862" width="9.140625" style="16"/>
    <col min="15863" max="15864" width="6.85546875" style="16" customWidth="1"/>
    <col min="15865" max="15865" width="29.28515625" style="16" customWidth="1"/>
    <col min="15866" max="15866" width="3.140625" style="16" customWidth="1"/>
    <col min="15867" max="15867" width="14" style="16" customWidth="1"/>
    <col min="15868" max="15868" width="15" style="16" customWidth="1"/>
    <col min="15869" max="15869" width="4.85546875" style="16" customWidth="1"/>
    <col min="15870" max="15870" width="11.28515625" style="16" customWidth="1"/>
    <col min="15871" max="16118" width="9.140625" style="16"/>
    <col min="16119" max="16120" width="6.85546875" style="16" customWidth="1"/>
    <col min="16121" max="16121" width="29.28515625" style="16" customWidth="1"/>
    <col min="16122" max="16122" width="3.140625" style="16" customWidth="1"/>
    <col min="16123" max="16123" width="14" style="16" customWidth="1"/>
    <col min="16124" max="16124" width="15" style="16" customWidth="1"/>
    <col min="16125" max="16125" width="4.85546875" style="16" customWidth="1"/>
    <col min="16126" max="16126" width="11.28515625" style="16" customWidth="1"/>
    <col min="16127" max="16384" width="9.140625" style="16"/>
  </cols>
  <sheetData>
    <row r="2" spans="1:7" x14ac:dyDescent="0.2">
      <c r="A2" s="104" t="s">
        <v>442</v>
      </c>
      <c r="B2" s="104"/>
      <c r="C2" s="104"/>
      <c r="D2" s="104"/>
      <c r="E2" s="104"/>
      <c r="F2" s="104"/>
      <c r="G2" s="104"/>
    </row>
    <row r="3" spans="1:7" x14ac:dyDescent="0.2">
      <c r="A3" s="104" t="s">
        <v>364</v>
      </c>
      <c r="B3" s="104"/>
      <c r="C3" s="104"/>
      <c r="D3" s="104"/>
      <c r="E3" s="104"/>
      <c r="F3" s="104"/>
      <c r="G3" s="104"/>
    </row>
    <row r="4" spans="1:7" x14ac:dyDescent="0.2">
      <c r="A4" s="104" t="s">
        <v>364</v>
      </c>
      <c r="B4" s="104"/>
      <c r="C4" s="104"/>
      <c r="D4" s="104"/>
      <c r="E4" s="104"/>
      <c r="F4" s="104"/>
      <c r="G4" s="104"/>
    </row>
    <row r="5" spans="1:7" x14ac:dyDescent="0.2">
      <c r="A5" s="35"/>
      <c r="B5" s="35"/>
      <c r="C5" s="35"/>
      <c r="D5" s="35"/>
      <c r="E5" s="36"/>
    </row>
    <row r="6" spans="1:7" x14ac:dyDescent="0.2">
      <c r="E6" s="90">
        <v>2016</v>
      </c>
      <c r="F6" s="90">
        <v>2015</v>
      </c>
    </row>
    <row r="7" spans="1:7" x14ac:dyDescent="0.2">
      <c r="C7" s="38" t="s">
        <v>443</v>
      </c>
      <c r="D7" s="38"/>
      <c r="E7" s="39" t="s">
        <v>364</v>
      </c>
    </row>
    <row r="8" spans="1:7" x14ac:dyDescent="0.2">
      <c r="C8" s="40" t="s">
        <v>87</v>
      </c>
      <c r="D8" s="40"/>
      <c r="E8" s="66">
        <f>+PT!G20</f>
        <v>1375000</v>
      </c>
      <c r="F8" s="66">
        <v>1004000</v>
      </c>
      <c r="G8" s="41"/>
    </row>
    <row r="9" spans="1:7" x14ac:dyDescent="0.2">
      <c r="C9" s="24" t="s">
        <v>483</v>
      </c>
      <c r="D9" s="24"/>
      <c r="E9" s="44">
        <f>+PT!G26+PT!G25+PT!G24</f>
        <v>1325000</v>
      </c>
      <c r="F9" s="44">
        <v>3045500</v>
      </c>
    </row>
    <row r="10" spans="1:7" x14ac:dyDescent="0.2">
      <c r="C10" s="24" t="s">
        <v>484</v>
      </c>
      <c r="D10" s="40"/>
      <c r="E10" s="45">
        <f>+PT!G21+PT!G22+PT!G23</f>
        <v>27900</v>
      </c>
      <c r="F10" s="45">
        <v>8000</v>
      </c>
    </row>
    <row r="11" spans="1:7" x14ac:dyDescent="0.2">
      <c r="C11" s="40" t="s">
        <v>80</v>
      </c>
      <c r="D11" s="40"/>
      <c r="E11" s="45">
        <f>+PT!G27</f>
        <v>220008</v>
      </c>
      <c r="F11" s="45">
        <v>172503</v>
      </c>
    </row>
    <row r="12" spans="1:7" x14ac:dyDescent="0.2">
      <c r="C12" s="40" t="s">
        <v>485</v>
      </c>
      <c r="D12" s="40"/>
      <c r="E12" s="45">
        <f>+PT!G33</f>
        <v>147362</v>
      </c>
      <c r="F12" s="45">
        <v>166004</v>
      </c>
    </row>
    <row r="13" spans="1:7" x14ac:dyDescent="0.2">
      <c r="C13" s="40" t="s">
        <v>486</v>
      </c>
      <c r="D13" s="40"/>
      <c r="E13" s="45">
        <f>+PT!G32</f>
        <v>0</v>
      </c>
      <c r="F13" s="45">
        <f>62037+13865</f>
        <v>75902</v>
      </c>
    </row>
    <row r="14" spans="1:7" x14ac:dyDescent="0.2">
      <c r="C14" s="40" t="s">
        <v>487</v>
      </c>
      <c r="D14" s="40"/>
      <c r="E14" s="45">
        <f>+PT!G31</f>
        <v>2174</v>
      </c>
      <c r="F14" s="45">
        <v>2516</v>
      </c>
    </row>
    <row r="15" spans="1:7" x14ac:dyDescent="0.2">
      <c r="C15" s="40" t="s">
        <v>488</v>
      </c>
      <c r="D15" s="40"/>
      <c r="E15" s="46">
        <f>+PT!G30+PT!G29</f>
        <v>62604</v>
      </c>
      <c r="F15" s="46">
        <v>71437</v>
      </c>
    </row>
    <row r="16" spans="1:7" x14ac:dyDescent="0.2">
      <c r="E16" s="45" t="s">
        <v>364</v>
      </c>
      <c r="F16" s="45" t="s">
        <v>364</v>
      </c>
    </row>
    <row r="17" spans="1:10" x14ac:dyDescent="0.2">
      <c r="E17" s="44" t="s">
        <v>364</v>
      </c>
      <c r="F17" s="44" t="s">
        <v>364</v>
      </c>
    </row>
    <row r="18" spans="1:10" x14ac:dyDescent="0.2">
      <c r="C18" s="38" t="s">
        <v>444</v>
      </c>
      <c r="D18" s="38"/>
      <c r="E18" s="43">
        <f>SUM(E8:E17)</f>
        <v>3160048</v>
      </c>
      <c r="F18" s="43">
        <f>SUM(F8:F17)</f>
        <v>4545862</v>
      </c>
      <c r="I18" s="84">
        <f>+GETPIVOTDATA("10/31/2015",PT!$A$3,"type",4)</f>
        <v>-3160048.45</v>
      </c>
      <c r="J18" s="30">
        <f>+I18+E18</f>
        <v>-0.45000000018626451</v>
      </c>
    </row>
    <row r="19" spans="1:10" x14ac:dyDescent="0.2">
      <c r="E19" s="44" t="s">
        <v>364</v>
      </c>
    </row>
    <row r="20" spans="1:10" x14ac:dyDescent="0.2">
      <c r="E20" s="45" t="s">
        <v>364</v>
      </c>
    </row>
    <row r="21" spans="1:10" x14ac:dyDescent="0.2">
      <c r="C21" s="38" t="s">
        <v>445</v>
      </c>
      <c r="D21" s="38"/>
      <c r="E21" s="43" t="s">
        <v>364</v>
      </c>
    </row>
    <row r="22" spans="1:10" x14ac:dyDescent="0.2">
      <c r="A22" s="16">
        <v>1</v>
      </c>
      <c r="C22" t="s">
        <v>546</v>
      </c>
      <c r="D22" s="40" t="e">
        <v>#N/A</v>
      </c>
      <c r="E22" s="45">
        <f>+PT!G35</f>
        <v>1941787</v>
      </c>
      <c r="F22" s="45">
        <f>2322749+54216</f>
        <v>2376965</v>
      </c>
      <c r="J22" s="30">
        <f>4861519-F53</f>
        <v>0</v>
      </c>
    </row>
    <row r="23" spans="1:10" x14ac:dyDescent="0.2">
      <c r="A23" s="16">
        <v>2</v>
      </c>
      <c r="C23" t="s">
        <v>374</v>
      </c>
      <c r="D23" s="40" t="e">
        <v>#N/A</v>
      </c>
      <c r="E23" s="45">
        <f>+PT!G36</f>
        <v>200000</v>
      </c>
      <c r="F23" s="45">
        <v>166916</v>
      </c>
    </row>
    <row r="24" spans="1:10" x14ac:dyDescent="0.2">
      <c r="C24" t="s">
        <v>543</v>
      </c>
      <c r="D24" s="40"/>
      <c r="E24" s="45">
        <f>+PT!G37</f>
        <v>125113</v>
      </c>
      <c r="F24" s="45"/>
    </row>
    <row r="25" spans="1:10" x14ac:dyDescent="0.2">
      <c r="C25" t="s">
        <v>165</v>
      </c>
      <c r="D25" s="40"/>
      <c r="E25" s="45">
        <f>+PT!G38</f>
        <v>38118</v>
      </c>
      <c r="F25" s="45"/>
    </row>
    <row r="26" spans="1:10" x14ac:dyDescent="0.2">
      <c r="C26" t="s">
        <v>552</v>
      </c>
      <c r="D26" s="40"/>
      <c r="E26" s="45">
        <f>+PT!G39</f>
        <v>43756</v>
      </c>
      <c r="F26" s="45"/>
    </row>
    <row r="27" spans="1:10" x14ac:dyDescent="0.2">
      <c r="C27" t="s">
        <v>553</v>
      </c>
      <c r="D27" s="40"/>
      <c r="E27" s="45">
        <f>+PT!G40</f>
        <v>20545</v>
      </c>
      <c r="F27" s="45"/>
    </row>
    <row r="28" spans="1:10" x14ac:dyDescent="0.2">
      <c r="C28" t="s">
        <v>555</v>
      </c>
      <c r="D28" s="40"/>
      <c r="E28" s="45">
        <f>+PT!G41</f>
        <v>220374</v>
      </c>
      <c r="F28" s="45"/>
    </row>
    <row r="29" spans="1:10" x14ac:dyDescent="0.2">
      <c r="C29" t="s">
        <v>554</v>
      </c>
      <c r="D29" s="40"/>
      <c r="E29" s="45">
        <f>+PT!G42</f>
        <v>8831</v>
      </c>
      <c r="F29" s="45"/>
    </row>
    <row r="30" spans="1:10" x14ac:dyDescent="0.2">
      <c r="C30" t="s">
        <v>556</v>
      </c>
      <c r="D30" s="40"/>
      <c r="E30" s="45">
        <f>+PT!G43</f>
        <v>115976</v>
      </c>
      <c r="F30" s="45"/>
    </row>
    <row r="31" spans="1:10" x14ac:dyDescent="0.2">
      <c r="C31" t="s">
        <v>558</v>
      </c>
      <c r="D31" s="40"/>
      <c r="E31" s="45">
        <f>+PT!G44</f>
        <v>101202</v>
      </c>
      <c r="F31" s="45"/>
    </row>
    <row r="32" spans="1:10" x14ac:dyDescent="0.2">
      <c r="C32" t="s">
        <v>336</v>
      </c>
      <c r="D32" s="40"/>
      <c r="E32" s="45">
        <f>+PT!G45</f>
        <v>40082</v>
      </c>
      <c r="F32" s="45"/>
    </row>
    <row r="33" spans="1:6" x14ac:dyDescent="0.2">
      <c r="C33" t="s">
        <v>548</v>
      </c>
      <c r="D33" s="40"/>
      <c r="E33" s="45">
        <f>+PT!G46</f>
        <v>27260</v>
      </c>
      <c r="F33" s="45"/>
    </row>
    <row r="34" spans="1:6" x14ac:dyDescent="0.2">
      <c r="C34" t="s">
        <v>551</v>
      </c>
      <c r="D34" s="40"/>
      <c r="E34" s="45">
        <f>+PT!G47</f>
        <v>15372</v>
      </c>
      <c r="F34" s="45"/>
    </row>
    <row r="35" spans="1:6" x14ac:dyDescent="0.2">
      <c r="A35" s="16">
        <v>3</v>
      </c>
      <c r="C35" t="s">
        <v>545</v>
      </c>
      <c r="D35" s="40" t="e">
        <v>#N/A</v>
      </c>
      <c r="E35" s="45">
        <f>+PT!G48</f>
        <v>69094</v>
      </c>
      <c r="F35" s="45">
        <v>498350</v>
      </c>
    </row>
    <row r="36" spans="1:6" x14ac:dyDescent="0.2">
      <c r="A36" s="16">
        <v>4</v>
      </c>
      <c r="C36" t="s">
        <v>332</v>
      </c>
      <c r="D36" s="40" t="e">
        <v>#N/A</v>
      </c>
      <c r="E36" s="45">
        <f>+PT!G49</f>
        <v>24514</v>
      </c>
      <c r="F36" s="45">
        <v>36945</v>
      </c>
    </row>
    <row r="37" spans="1:6" x14ac:dyDescent="0.2">
      <c r="A37" s="16">
        <v>5</v>
      </c>
      <c r="C37" t="s">
        <v>312</v>
      </c>
      <c r="D37" s="40" t="e">
        <v>#N/A</v>
      </c>
      <c r="E37" s="45">
        <f>+PT!G50</f>
        <v>30610</v>
      </c>
      <c r="F37" s="45">
        <v>68009</v>
      </c>
    </row>
    <row r="38" spans="1:6" x14ac:dyDescent="0.2">
      <c r="A38" s="16">
        <v>6</v>
      </c>
      <c r="C38" t="s">
        <v>314</v>
      </c>
      <c r="D38" s="40" t="e">
        <v>#N/A</v>
      </c>
      <c r="E38" s="45">
        <f>+PT!G51</f>
        <v>401531</v>
      </c>
      <c r="F38" s="45">
        <v>187100</v>
      </c>
    </row>
    <row r="39" spans="1:6" x14ac:dyDescent="0.2">
      <c r="A39" s="16">
        <v>7</v>
      </c>
      <c r="C39" t="s">
        <v>557</v>
      </c>
      <c r="D39" s="40" t="e">
        <v>#N/A</v>
      </c>
      <c r="E39" s="45">
        <f>+PT!G52</f>
        <v>20721</v>
      </c>
      <c r="F39" s="45">
        <v>280837</v>
      </c>
    </row>
    <row r="40" spans="1:6" x14ac:dyDescent="0.2">
      <c r="A40" s="16">
        <v>8</v>
      </c>
      <c r="C40" t="s">
        <v>544</v>
      </c>
      <c r="D40" s="40" t="e">
        <v>#N/A</v>
      </c>
      <c r="E40" s="45">
        <f>+PT!G53</f>
        <v>12265</v>
      </c>
      <c r="F40" s="42">
        <v>122490</v>
      </c>
    </row>
    <row r="41" spans="1:6" x14ac:dyDescent="0.2">
      <c r="C41" t="s">
        <v>550</v>
      </c>
      <c r="D41" s="40"/>
      <c r="E41" s="45">
        <f>+PT!G54</f>
        <v>39300</v>
      </c>
      <c r="F41" s="42"/>
    </row>
    <row r="42" spans="1:6" x14ac:dyDescent="0.2">
      <c r="C42" t="s">
        <v>549</v>
      </c>
      <c r="D42" s="40"/>
      <c r="E42" s="45">
        <f>+PT!G55</f>
        <v>22255</v>
      </c>
      <c r="F42" s="42"/>
    </row>
    <row r="43" spans="1:6" x14ac:dyDescent="0.2">
      <c r="C43" t="s">
        <v>510</v>
      </c>
      <c r="D43" s="40"/>
      <c r="E43" s="45">
        <f>+PT!G56</f>
        <v>10160</v>
      </c>
      <c r="F43" s="42"/>
    </row>
    <row r="44" spans="1:6" x14ac:dyDescent="0.2">
      <c r="A44" s="16">
        <v>9</v>
      </c>
      <c r="C44" t="s">
        <v>547</v>
      </c>
      <c r="D44" s="40" t="e">
        <v>#N/A</v>
      </c>
      <c r="E44" s="45">
        <f>+PT!G57</f>
        <v>0</v>
      </c>
      <c r="F44" s="45">
        <v>46130</v>
      </c>
    </row>
    <row r="45" spans="1:6" x14ac:dyDescent="0.2">
      <c r="A45" s="16">
        <v>10</v>
      </c>
      <c r="C45" t="s">
        <v>362</v>
      </c>
      <c r="D45" s="40" t="e">
        <v>#N/A</v>
      </c>
      <c r="E45" s="45">
        <f>+PT!G58</f>
        <v>0</v>
      </c>
      <c r="F45" s="45">
        <v>338488</v>
      </c>
    </row>
    <row r="46" spans="1:6" x14ac:dyDescent="0.2">
      <c r="A46" s="16">
        <v>11</v>
      </c>
      <c r="C46" t="s">
        <v>547</v>
      </c>
      <c r="D46" s="40" t="e">
        <v>#N/A</v>
      </c>
      <c r="E46" s="45">
        <f>+PT!G59</f>
        <v>1274</v>
      </c>
      <c r="F46" s="45">
        <v>41678</v>
      </c>
    </row>
    <row r="47" spans="1:6" x14ac:dyDescent="0.2">
      <c r="A47" s="16">
        <v>12</v>
      </c>
      <c r="C47" t="s">
        <v>378</v>
      </c>
      <c r="D47" s="40" t="e">
        <v>#N/A</v>
      </c>
      <c r="E47" s="45">
        <f>+PT!G60</f>
        <v>67500</v>
      </c>
      <c r="F47" s="45">
        <v>21888</v>
      </c>
    </row>
    <row r="48" spans="1:6" x14ac:dyDescent="0.2">
      <c r="A48" s="16">
        <v>13</v>
      </c>
      <c r="C48" s="85" t="s">
        <v>604</v>
      </c>
      <c r="D48" s="40" t="e">
        <v>#N/A</v>
      </c>
      <c r="E48" s="45">
        <f>+PT!G61</f>
        <v>70000</v>
      </c>
      <c r="F48" s="45">
        <v>501352</v>
      </c>
    </row>
    <row r="49" spans="1:10" x14ac:dyDescent="0.2">
      <c r="A49" s="16">
        <v>14</v>
      </c>
      <c r="C49" s="85" t="s">
        <v>364</v>
      </c>
      <c r="D49" s="40" t="e">
        <v>#N/A</v>
      </c>
      <c r="E49" s="45">
        <f>+PT!G62</f>
        <v>0</v>
      </c>
      <c r="F49" s="45">
        <v>117992</v>
      </c>
    </row>
    <row r="50" spans="1:10" x14ac:dyDescent="0.2">
      <c r="A50" s="16">
        <v>15</v>
      </c>
      <c r="C50" s="85" t="s">
        <v>364</v>
      </c>
      <c r="D50" s="40" t="e">
        <v>#N/A</v>
      </c>
      <c r="E50" s="45">
        <f>+PT!G63</f>
        <v>0</v>
      </c>
      <c r="F50" s="45">
        <v>12803</v>
      </c>
    </row>
    <row r="51" spans="1:10" ht="15" x14ac:dyDescent="0.25">
      <c r="A51" s="16">
        <v>16</v>
      </c>
      <c r="C51" s="48" t="s">
        <v>364</v>
      </c>
      <c r="D51" s="40" t="e">
        <v>#N/A</v>
      </c>
      <c r="E51" s="46">
        <f>+PT!G64</f>
        <v>0</v>
      </c>
      <c r="F51" s="46">
        <v>43576</v>
      </c>
    </row>
    <row r="52" spans="1:10" x14ac:dyDescent="0.2">
      <c r="C52" s="24"/>
      <c r="D52" s="24"/>
      <c r="E52" s="49" t="s">
        <v>364</v>
      </c>
      <c r="F52" s="47"/>
      <c r="G52" s="24"/>
    </row>
    <row r="53" spans="1:10" x14ac:dyDescent="0.2">
      <c r="C53" s="38" t="s">
        <v>446</v>
      </c>
      <c r="D53" s="38"/>
      <c r="E53" s="43">
        <f>SUM(E22:E51)</f>
        <v>3667640</v>
      </c>
      <c r="F53" s="43">
        <f>SUM(F22:F51)</f>
        <v>4861519</v>
      </c>
      <c r="G53" s="24"/>
      <c r="I53" s="16">
        <f>+GETPIVOTDATA("10/31/2015",PT!$A$3,"type",5)</f>
        <v>3667639.3200000003</v>
      </c>
      <c r="J53" s="30">
        <f>+E53-I53</f>
        <v>0.67999999970197678</v>
      </c>
    </row>
    <row r="54" spans="1:10" x14ac:dyDescent="0.2">
      <c r="C54" s="24"/>
      <c r="D54" s="24"/>
      <c r="E54" s="49" t="s">
        <v>364</v>
      </c>
      <c r="F54" s="47"/>
      <c r="G54" s="24"/>
    </row>
    <row r="55" spans="1:10" x14ac:dyDescent="0.2">
      <c r="C55" s="38" t="s">
        <v>447</v>
      </c>
      <c r="D55" s="38"/>
      <c r="E55" s="43">
        <f>SUM(E18-E53)</f>
        <v>-507592</v>
      </c>
      <c r="F55" s="43">
        <f>SUM(F18-F53)</f>
        <v>-315657</v>
      </c>
      <c r="G55" s="24"/>
    </row>
    <row r="56" spans="1:10" x14ac:dyDescent="0.2">
      <c r="C56" s="85" t="s">
        <v>604</v>
      </c>
      <c r="D56" s="38"/>
      <c r="E56" s="43">
        <f>+E48</f>
        <v>70000</v>
      </c>
      <c r="F56" s="43"/>
      <c r="G56" s="24"/>
    </row>
    <row r="57" spans="1:10" x14ac:dyDescent="0.2">
      <c r="C57" s="24"/>
      <c r="D57" s="24"/>
      <c r="E57" s="49" t="s">
        <v>364</v>
      </c>
      <c r="F57" s="47"/>
      <c r="G57" s="24"/>
    </row>
    <row r="58" spans="1:10" x14ac:dyDescent="0.2">
      <c r="C58" s="24" t="s">
        <v>448</v>
      </c>
      <c r="D58" s="24"/>
      <c r="E58" s="50">
        <f>+F60</f>
        <v>1826916</v>
      </c>
      <c r="F58" s="51">
        <v>2142573</v>
      </c>
      <c r="G58" s="24"/>
    </row>
    <row r="59" spans="1:10" x14ac:dyDescent="0.2">
      <c r="C59" s="24"/>
      <c r="D59" s="24"/>
      <c r="F59" s="47"/>
      <c r="G59" s="24"/>
    </row>
    <row r="60" spans="1:10" ht="13.5" thickBot="1" x14ac:dyDescent="0.25">
      <c r="C60" s="24" t="s">
        <v>449</v>
      </c>
      <c r="D60" s="24"/>
      <c r="E60" s="53">
        <f>+E55+E58+E56</f>
        <v>1389324</v>
      </c>
      <c r="F60" s="53">
        <f>+F55+F58</f>
        <v>1826916</v>
      </c>
      <c r="G60" s="24"/>
    </row>
    <row r="61" spans="1:10" ht="13.5" thickTop="1" x14ac:dyDescent="0.2">
      <c r="C61" s="24"/>
      <c r="D61" s="24"/>
      <c r="F61" s="54" t="s">
        <v>364</v>
      </c>
      <c r="G61" s="24"/>
    </row>
  </sheetData>
  <mergeCells count="3">
    <mergeCell ref="A2:G2"/>
    <mergeCell ref="A3:G3"/>
    <mergeCell ref="A4:G4"/>
  </mergeCells>
  <printOptions horizontalCentered="1"/>
  <pageMargins left="1" right="1" top="1.75" bottom="0.75" header="1" footer="0.5"/>
  <pageSetup scale="75" firstPageNumber="3" orientation="portrait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view="pageBreakPreview" zoomScale="110" zoomScaleNormal="100" zoomScaleSheetLayoutView="110" workbookViewId="0">
      <selection sqref="A1:XFD1"/>
    </sheetView>
  </sheetViews>
  <sheetFormatPr defaultRowHeight="12.75" x14ac:dyDescent="0.2"/>
  <cols>
    <col min="1" max="1" width="5.140625" style="16" customWidth="1"/>
    <col min="2" max="2" width="5.7109375" style="16" customWidth="1"/>
    <col min="3" max="3" width="23.5703125" style="16" customWidth="1"/>
    <col min="4" max="4" width="16.7109375" style="16" customWidth="1"/>
    <col min="5" max="5" width="16.85546875" style="30" customWidth="1"/>
    <col min="6" max="6" width="2.28515625" style="30" customWidth="1"/>
    <col min="7" max="7" width="18.85546875" style="67" customWidth="1"/>
    <col min="8" max="8" width="12.28515625" style="16" bestFit="1" customWidth="1"/>
    <col min="9" max="9" width="14.140625" style="16" customWidth="1"/>
    <col min="10" max="10" width="12.42578125" style="16" customWidth="1"/>
    <col min="11" max="13" width="9.140625" style="16"/>
    <col min="14" max="14" width="12.28515625" style="84" bestFit="1" customWidth="1"/>
    <col min="15" max="256" width="9.140625" style="16"/>
    <col min="257" max="257" width="2.28515625" style="16" customWidth="1"/>
    <col min="258" max="258" width="5.7109375" style="16" customWidth="1"/>
    <col min="259" max="259" width="23.5703125" style="16" customWidth="1"/>
    <col min="260" max="260" width="16.7109375" style="16" customWidth="1"/>
    <col min="261" max="261" width="7.85546875" style="16" customWidth="1"/>
    <col min="262" max="262" width="2.28515625" style="16" customWidth="1"/>
    <col min="263" max="263" width="18.85546875" style="16" customWidth="1"/>
    <col min="264" max="264" width="12.28515625" style="16" bestFit="1" customWidth="1"/>
    <col min="265" max="512" width="9.140625" style="16"/>
    <col min="513" max="513" width="2.28515625" style="16" customWidth="1"/>
    <col min="514" max="514" width="5.7109375" style="16" customWidth="1"/>
    <col min="515" max="515" width="23.5703125" style="16" customWidth="1"/>
    <col min="516" max="516" width="16.7109375" style="16" customWidth="1"/>
    <col min="517" max="517" width="7.85546875" style="16" customWidth="1"/>
    <col min="518" max="518" width="2.28515625" style="16" customWidth="1"/>
    <col min="519" max="519" width="18.85546875" style="16" customWidth="1"/>
    <col min="520" max="520" width="12.28515625" style="16" bestFit="1" customWidth="1"/>
    <col min="521" max="768" width="9.140625" style="16"/>
    <col min="769" max="769" width="2.28515625" style="16" customWidth="1"/>
    <col min="770" max="770" width="5.7109375" style="16" customWidth="1"/>
    <col min="771" max="771" width="23.5703125" style="16" customWidth="1"/>
    <col min="772" max="772" width="16.7109375" style="16" customWidth="1"/>
    <col min="773" max="773" width="7.85546875" style="16" customWidth="1"/>
    <col min="774" max="774" width="2.28515625" style="16" customWidth="1"/>
    <col min="775" max="775" width="18.85546875" style="16" customWidth="1"/>
    <col min="776" max="776" width="12.28515625" style="16" bestFit="1" customWidth="1"/>
    <col min="777" max="1024" width="9.140625" style="16"/>
    <col min="1025" max="1025" width="2.28515625" style="16" customWidth="1"/>
    <col min="1026" max="1026" width="5.7109375" style="16" customWidth="1"/>
    <col min="1027" max="1027" width="23.5703125" style="16" customWidth="1"/>
    <col min="1028" max="1028" width="16.7109375" style="16" customWidth="1"/>
    <col min="1029" max="1029" width="7.85546875" style="16" customWidth="1"/>
    <col min="1030" max="1030" width="2.28515625" style="16" customWidth="1"/>
    <col min="1031" max="1031" width="18.85546875" style="16" customWidth="1"/>
    <col min="1032" max="1032" width="12.28515625" style="16" bestFit="1" customWidth="1"/>
    <col min="1033" max="1280" width="9.140625" style="16"/>
    <col min="1281" max="1281" width="2.28515625" style="16" customWidth="1"/>
    <col min="1282" max="1282" width="5.7109375" style="16" customWidth="1"/>
    <col min="1283" max="1283" width="23.5703125" style="16" customWidth="1"/>
    <col min="1284" max="1284" width="16.7109375" style="16" customWidth="1"/>
    <col min="1285" max="1285" width="7.85546875" style="16" customWidth="1"/>
    <col min="1286" max="1286" width="2.28515625" style="16" customWidth="1"/>
    <col min="1287" max="1287" width="18.85546875" style="16" customWidth="1"/>
    <col min="1288" max="1288" width="12.28515625" style="16" bestFit="1" customWidth="1"/>
    <col min="1289" max="1536" width="9.140625" style="16"/>
    <col min="1537" max="1537" width="2.28515625" style="16" customWidth="1"/>
    <col min="1538" max="1538" width="5.7109375" style="16" customWidth="1"/>
    <col min="1539" max="1539" width="23.5703125" style="16" customWidth="1"/>
    <col min="1540" max="1540" width="16.7109375" style="16" customWidth="1"/>
    <col min="1541" max="1541" width="7.85546875" style="16" customWidth="1"/>
    <col min="1542" max="1542" width="2.28515625" style="16" customWidth="1"/>
    <col min="1543" max="1543" width="18.85546875" style="16" customWidth="1"/>
    <col min="1544" max="1544" width="12.28515625" style="16" bestFit="1" customWidth="1"/>
    <col min="1545" max="1792" width="9.140625" style="16"/>
    <col min="1793" max="1793" width="2.28515625" style="16" customWidth="1"/>
    <col min="1794" max="1794" width="5.7109375" style="16" customWidth="1"/>
    <col min="1795" max="1795" width="23.5703125" style="16" customWidth="1"/>
    <col min="1796" max="1796" width="16.7109375" style="16" customWidth="1"/>
    <col min="1797" max="1797" width="7.85546875" style="16" customWidth="1"/>
    <col min="1798" max="1798" width="2.28515625" style="16" customWidth="1"/>
    <col min="1799" max="1799" width="18.85546875" style="16" customWidth="1"/>
    <col min="1800" max="1800" width="12.28515625" style="16" bestFit="1" customWidth="1"/>
    <col min="1801" max="2048" width="9.140625" style="16"/>
    <col min="2049" max="2049" width="2.28515625" style="16" customWidth="1"/>
    <col min="2050" max="2050" width="5.7109375" style="16" customWidth="1"/>
    <col min="2051" max="2051" width="23.5703125" style="16" customWidth="1"/>
    <col min="2052" max="2052" width="16.7109375" style="16" customWidth="1"/>
    <col min="2053" max="2053" width="7.85546875" style="16" customWidth="1"/>
    <col min="2054" max="2054" width="2.28515625" style="16" customWidth="1"/>
    <col min="2055" max="2055" width="18.85546875" style="16" customWidth="1"/>
    <col min="2056" max="2056" width="12.28515625" style="16" bestFit="1" customWidth="1"/>
    <col min="2057" max="2304" width="9.140625" style="16"/>
    <col min="2305" max="2305" width="2.28515625" style="16" customWidth="1"/>
    <col min="2306" max="2306" width="5.7109375" style="16" customWidth="1"/>
    <col min="2307" max="2307" width="23.5703125" style="16" customWidth="1"/>
    <col min="2308" max="2308" width="16.7109375" style="16" customWidth="1"/>
    <col min="2309" max="2309" width="7.85546875" style="16" customWidth="1"/>
    <col min="2310" max="2310" width="2.28515625" style="16" customWidth="1"/>
    <col min="2311" max="2311" width="18.85546875" style="16" customWidth="1"/>
    <col min="2312" max="2312" width="12.28515625" style="16" bestFit="1" customWidth="1"/>
    <col min="2313" max="2560" width="9.140625" style="16"/>
    <col min="2561" max="2561" width="2.28515625" style="16" customWidth="1"/>
    <col min="2562" max="2562" width="5.7109375" style="16" customWidth="1"/>
    <col min="2563" max="2563" width="23.5703125" style="16" customWidth="1"/>
    <col min="2564" max="2564" width="16.7109375" style="16" customWidth="1"/>
    <col min="2565" max="2565" width="7.85546875" style="16" customWidth="1"/>
    <col min="2566" max="2566" width="2.28515625" style="16" customWidth="1"/>
    <col min="2567" max="2567" width="18.85546875" style="16" customWidth="1"/>
    <col min="2568" max="2568" width="12.28515625" style="16" bestFit="1" customWidth="1"/>
    <col min="2569" max="2816" width="9.140625" style="16"/>
    <col min="2817" max="2817" width="2.28515625" style="16" customWidth="1"/>
    <col min="2818" max="2818" width="5.7109375" style="16" customWidth="1"/>
    <col min="2819" max="2819" width="23.5703125" style="16" customWidth="1"/>
    <col min="2820" max="2820" width="16.7109375" style="16" customWidth="1"/>
    <col min="2821" max="2821" width="7.85546875" style="16" customWidth="1"/>
    <col min="2822" max="2822" width="2.28515625" style="16" customWidth="1"/>
    <col min="2823" max="2823" width="18.85546875" style="16" customWidth="1"/>
    <col min="2824" max="2824" width="12.28515625" style="16" bestFit="1" customWidth="1"/>
    <col min="2825" max="3072" width="9.140625" style="16"/>
    <col min="3073" max="3073" width="2.28515625" style="16" customWidth="1"/>
    <col min="3074" max="3074" width="5.7109375" style="16" customWidth="1"/>
    <col min="3075" max="3075" width="23.5703125" style="16" customWidth="1"/>
    <col min="3076" max="3076" width="16.7109375" style="16" customWidth="1"/>
    <col min="3077" max="3077" width="7.85546875" style="16" customWidth="1"/>
    <col min="3078" max="3078" width="2.28515625" style="16" customWidth="1"/>
    <col min="3079" max="3079" width="18.85546875" style="16" customWidth="1"/>
    <col min="3080" max="3080" width="12.28515625" style="16" bestFit="1" customWidth="1"/>
    <col min="3081" max="3328" width="9.140625" style="16"/>
    <col min="3329" max="3329" width="2.28515625" style="16" customWidth="1"/>
    <col min="3330" max="3330" width="5.7109375" style="16" customWidth="1"/>
    <col min="3331" max="3331" width="23.5703125" style="16" customWidth="1"/>
    <col min="3332" max="3332" width="16.7109375" style="16" customWidth="1"/>
    <col min="3333" max="3333" width="7.85546875" style="16" customWidth="1"/>
    <col min="3334" max="3334" width="2.28515625" style="16" customWidth="1"/>
    <col min="3335" max="3335" width="18.85546875" style="16" customWidth="1"/>
    <col min="3336" max="3336" width="12.28515625" style="16" bestFit="1" customWidth="1"/>
    <col min="3337" max="3584" width="9.140625" style="16"/>
    <col min="3585" max="3585" width="2.28515625" style="16" customWidth="1"/>
    <col min="3586" max="3586" width="5.7109375" style="16" customWidth="1"/>
    <col min="3587" max="3587" width="23.5703125" style="16" customWidth="1"/>
    <col min="3588" max="3588" width="16.7109375" style="16" customWidth="1"/>
    <col min="3589" max="3589" width="7.85546875" style="16" customWidth="1"/>
    <col min="3590" max="3590" width="2.28515625" style="16" customWidth="1"/>
    <col min="3591" max="3591" width="18.85546875" style="16" customWidth="1"/>
    <col min="3592" max="3592" width="12.28515625" style="16" bestFit="1" customWidth="1"/>
    <col min="3593" max="3840" width="9.140625" style="16"/>
    <col min="3841" max="3841" width="2.28515625" style="16" customWidth="1"/>
    <col min="3842" max="3842" width="5.7109375" style="16" customWidth="1"/>
    <col min="3843" max="3843" width="23.5703125" style="16" customWidth="1"/>
    <col min="3844" max="3844" width="16.7109375" style="16" customWidth="1"/>
    <col min="3845" max="3845" width="7.85546875" style="16" customWidth="1"/>
    <col min="3846" max="3846" width="2.28515625" style="16" customWidth="1"/>
    <col min="3847" max="3847" width="18.85546875" style="16" customWidth="1"/>
    <col min="3848" max="3848" width="12.28515625" style="16" bestFit="1" customWidth="1"/>
    <col min="3849" max="4096" width="9.140625" style="16"/>
    <col min="4097" max="4097" width="2.28515625" style="16" customWidth="1"/>
    <col min="4098" max="4098" width="5.7109375" style="16" customWidth="1"/>
    <col min="4099" max="4099" width="23.5703125" style="16" customWidth="1"/>
    <col min="4100" max="4100" width="16.7109375" style="16" customWidth="1"/>
    <col min="4101" max="4101" width="7.85546875" style="16" customWidth="1"/>
    <col min="4102" max="4102" width="2.28515625" style="16" customWidth="1"/>
    <col min="4103" max="4103" width="18.85546875" style="16" customWidth="1"/>
    <col min="4104" max="4104" width="12.28515625" style="16" bestFit="1" customWidth="1"/>
    <col min="4105" max="4352" width="9.140625" style="16"/>
    <col min="4353" max="4353" width="2.28515625" style="16" customWidth="1"/>
    <col min="4354" max="4354" width="5.7109375" style="16" customWidth="1"/>
    <col min="4355" max="4355" width="23.5703125" style="16" customWidth="1"/>
    <col min="4356" max="4356" width="16.7109375" style="16" customWidth="1"/>
    <col min="4357" max="4357" width="7.85546875" style="16" customWidth="1"/>
    <col min="4358" max="4358" width="2.28515625" style="16" customWidth="1"/>
    <col min="4359" max="4359" width="18.85546875" style="16" customWidth="1"/>
    <col min="4360" max="4360" width="12.28515625" style="16" bestFit="1" customWidth="1"/>
    <col min="4361" max="4608" width="9.140625" style="16"/>
    <col min="4609" max="4609" width="2.28515625" style="16" customWidth="1"/>
    <col min="4610" max="4610" width="5.7109375" style="16" customWidth="1"/>
    <col min="4611" max="4611" width="23.5703125" style="16" customWidth="1"/>
    <col min="4612" max="4612" width="16.7109375" style="16" customWidth="1"/>
    <col min="4613" max="4613" width="7.85546875" style="16" customWidth="1"/>
    <col min="4614" max="4614" width="2.28515625" style="16" customWidth="1"/>
    <col min="4615" max="4615" width="18.85546875" style="16" customWidth="1"/>
    <col min="4616" max="4616" width="12.28515625" style="16" bestFit="1" customWidth="1"/>
    <col min="4617" max="4864" width="9.140625" style="16"/>
    <col min="4865" max="4865" width="2.28515625" style="16" customWidth="1"/>
    <col min="4866" max="4866" width="5.7109375" style="16" customWidth="1"/>
    <col min="4867" max="4867" width="23.5703125" style="16" customWidth="1"/>
    <col min="4868" max="4868" width="16.7109375" style="16" customWidth="1"/>
    <col min="4869" max="4869" width="7.85546875" style="16" customWidth="1"/>
    <col min="4870" max="4870" width="2.28515625" style="16" customWidth="1"/>
    <col min="4871" max="4871" width="18.85546875" style="16" customWidth="1"/>
    <col min="4872" max="4872" width="12.28515625" style="16" bestFit="1" customWidth="1"/>
    <col min="4873" max="5120" width="9.140625" style="16"/>
    <col min="5121" max="5121" width="2.28515625" style="16" customWidth="1"/>
    <col min="5122" max="5122" width="5.7109375" style="16" customWidth="1"/>
    <col min="5123" max="5123" width="23.5703125" style="16" customWidth="1"/>
    <col min="5124" max="5124" width="16.7109375" style="16" customWidth="1"/>
    <col min="5125" max="5125" width="7.85546875" style="16" customWidth="1"/>
    <col min="5126" max="5126" width="2.28515625" style="16" customWidth="1"/>
    <col min="5127" max="5127" width="18.85546875" style="16" customWidth="1"/>
    <col min="5128" max="5128" width="12.28515625" style="16" bestFit="1" customWidth="1"/>
    <col min="5129" max="5376" width="9.140625" style="16"/>
    <col min="5377" max="5377" width="2.28515625" style="16" customWidth="1"/>
    <col min="5378" max="5378" width="5.7109375" style="16" customWidth="1"/>
    <col min="5379" max="5379" width="23.5703125" style="16" customWidth="1"/>
    <col min="5380" max="5380" width="16.7109375" style="16" customWidth="1"/>
    <col min="5381" max="5381" width="7.85546875" style="16" customWidth="1"/>
    <col min="5382" max="5382" width="2.28515625" style="16" customWidth="1"/>
    <col min="5383" max="5383" width="18.85546875" style="16" customWidth="1"/>
    <col min="5384" max="5384" width="12.28515625" style="16" bestFit="1" customWidth="1"/>
    <col min="5385" max="5632" width="9.140625" style="16"/>
    <col min="5633" max="5633" width="2.28515625" style="16" customWidth="1"/>
    <col min="5634" max="5634" width="5.7109375" style="16" customWidth="1"/>
    <col min="5635" max="5635" width="23.5703125" style="16" customWidth="1"/>
    <col min="5636" max="5636" width="16.7109375" style="16" customWidth="1"/>
    <col min="5637" max="5637" width="7.85546875" style="16" customWidth="1"/>
    <col min="5638" max="5638" width="2.28515625" style="16" customWidth="1"/>
    <col min="5639" max="5639" width="18.85546875" style="16" customWidth="1"/>
    <col min="5640" max="5640" width="12.28515625" style="16" bestFit="1" customWidth="1"/>
    <col min="5641" max="5888" width="9.140625" style="16"/>
    <col min="5889" max="5889" width="2.28515625" style="16" customWidth="1"/>
    <col min="5890" max="5890" width="5.7109375" style="16" customWidth="1"/>
    <col min="5891" max="5891" width="23.5703125" style="16" customWidth="1"/>
    <col min="5892" max="5892" width="16.7109375" style="16" customWidth="1"/>
    <col min="5893" max="5893" width="7.85546875" style="16" customWidth="1"/>
    <col min="5894" max="5894" width="2.28515625" style="16" customWidth="1"/>
    <col min="5895" max="5895" width="18.85546875" style="16" customWidth="1"/>
    <col min="5896" max="5896" width="12.28515625" style="16" bestFit="1" customWidth="1"/>
    <col min="5897" max="6144" width="9.140625" style="16"/>
    <col min="6145" max="6145" width="2.28515625" style="16" customWidth="1"/>
    <col min="6146" max="6146" width="5.7109375" style="16" customWidth="1"/>
    <col min="6147" max="6147" width="23.5703125" style="16" customWidth="1"/>
    <col min="6148" max="6148" width="16.7109375" style="16" customWidth="1"/>
    <col min="6149" max="6149" width="7.85546875" style="16" customWidth="1"/>
    <col min="6150" max="6150" width="2.28515625" style="16" customWidth="1"/>
    <col min="6151" max="6151" width="18.85546875" style="16" customWidth="1"/>
    <col min="6152" max="6152" width="12.28515625" style="16" bestFit="1" customWidth="1"/>
    <col min="6153" max="6400" width="9.140625" style="16"/>
    <col min="6401" max="6401" width="2.28515625" style="16" customWidth="1"/>
    <col min="6402" max="6402" width="5.7109375" style="16" customWidth="1"/>
    <col min="6403" max="6403" width="23.5703125" style="16" customWidth="1"/>
    <col min="6404" max="6404" width="16.7109375" style="16" customWidth="1"/>
    <col min="6405" max="6405" width="7.85546875" style="16" customWidth="1"/>
    <col min="6406" max="6406" width="2.28515625" style="16" customWidth="1"/>
    <col min="6407" max="6407" width="18.85546875" style="16" customWidth="1"/>
    <col min="6408" max="6408" width="12.28515625" style="16" bestFit="1" customWidth="1"/>
    <col min="6409" max="6656" width="9.140625" style="16"/>
    <col min="6657" max="6657" width="2.28515625" style="16" customWidth="1"/>
    <col min="6658" max="6658" width="5.7109375" style="16" customWidth="1"/>
    <col min="6659" max="6659" width="23.5703125" style="16" customWidth="1"/>
    <col min="6660" max="6660" width="16.7109375" style="16" customWidth="1"/>
    <col min="6661" max="6661" width="7.85546875" style="16" customWidth="1"/>
    <col min="6662" max="6662" width="2.28515625" style="16" customWidth="1"/>
    <col min="6663" max="6663" width="18.85546875" style="16" customWidth="1"/>
    <col min="6664" max="6664" width="12.28515625" style="16" bestFit="1" customWidth="1"/>
    <col min="6665" max="6912" width="9.140625" style="16"/>
    <col min="6913" max="6913" width="2.28515625" style="16" customWidth="1"/>
    <col min="6914" max="6914" width="5.7109375" style="16" customWidth="1"/>
    <col min="6915" max="6915" width="23.5703125" style="16" customWidth="1"/>
    <col min="6916" max="6916" width="16.7109375" style="16" customWidth="1"/>
    <col min="6917" max="6917" width="7.85546875" style="16" customWidth="1"/>
    <col min="6918" max="6918" width="2.28515625" style="16" customWidth="1"/>
    <col min="6919" max="6919" width="18.85546875" style="16" customWidth="1"/>
    <col min="6920" max="6920" width="12.28515625" style="16" bestFit="1" customWidth="1"/>
    <col min="6921" max="7168" width="9.140625" style="16"/>
    <col min="7169" max="7169" width="2.28515625" style="16" customWidth="1"/>
    <col min="7170" max="7170" width="5.7109375" style="16" customWidth="1"/>
    <col min="7171" max="7171" width="23.5703125" style="16" customWidth="1"/>
    <col min="7172" max="7172" width="16.7109375" style="16" customWidth="1"/>
    <col min="7173" max="7173" width="7.85546875" style="16" customWidth="1"/>
    <col min="7174" max="7174" width="2.28515625" style="16" customWidth="1"/>
    <col min="7175" max="7175" width="18.85546875" style="16" customWidth="1"/>
    <col min="7176" max="7176" width="12.28515625" style="16" bestFit="1" customWidth="1"/>
    <col min="7177" max="7424" width="9.140625" style="16"/>
    <col min="7425" max="7425" width="2.28515625" style="16" customWidth="1"/>
    <col min="7426" max="7426" width="5.7109375" style="16" customWidth="1"/>
    <col min="7427" max="7427" width="23.5703125" style="16" customWidth="1"/>
    <col min="7428" max="7428" width="16.7109375" style="16" customWidth="1"/>
    <col min="7429" max="7429" width="7.85546875" style="16" customWidth="1"/>
    <col min="7430" max="7430" width="2.28515625" style="16" customWidth="1"/>
    <col min="7431" max="7431" width="18.85546875" style="16" customWidth="1"/>
    <col min="7432" max="7432" width="12.28515625" style="16" bestFit="1" customWidth="1"/>
    <col min="7433" max="7680" width="9.140625" style="16"/>
    <col min="7681" max="7681" width="2.28515625" style="16" customWidth="1"/>
    <col min="7682" max="7682" width="5.7109375" style="16" customWidth="1"/>
    <col min="7683" max="7683" width="23.5703125" style="16" customWidth="1"/>
    <col min="7684" max="7684" width="16.7109375" style="16" customWidth="1"/>
    <col min="7685" max="7685" width="7.85546875" style="16" customWidth="1"/>
    <col min="7686" max="7686" width="2.28515625" style="16" customWidth="1"/>
    <col min="7687" max="7687" width="18.85546875" style="16" customWidth="1"/>
    <col min="7688" max="7688" width="12.28515625" style="16" bestFit="1" customWidth="1"/>
    <col min="7689" max="7936" width="9.140625" style="16"/>
    <col min="7937" max="7937" width="2.28515625" style="16" customWidth="1"/>
    <col min="7938" max="7938" width="5.7109375" style="16" customWidth="1"/>
    <col min="7939" max="7939" width="23.5703125" style="16" customWidth="1"/>
    <col min="7940" max="7940" width="16.7109375" style="16" customWidth="1"/>
    <col min="7941" max="7941" width="7.85546875" style="16" customWidth="1"/>
    <col min="7942" max="7942" width="2.28515625" style="16" customWidth="1"/>
    <col min="7943" max="7943" width="18.85546875" style="16" customWidth="1"/>
    <col min="7944" max="7944" width="12.28515625" style="16" bestFit="1" customWidth="1"/>
    <col min="7945" max="8192" width="9.140625" style="16"/>
    <col min="8193" max="8193" width="2.28515625" style="16" customWidth="1"/>
    <col min="8194" max="8194" width="5.7109375" style="16" customWidth="1"/>
    <col min="8195" max="8195" width="23.5703125" style="16" customWidth="1"/>
    <col min="8196" max="8196" width="16.7109375" style="16" customWidth="1"/>
    <col min="8197" max="8197" width="7.85546875" style="16" customWidth="1"/>
    <col min="8198" max="8198" width="2.28515625" style="16" customWidth="1"/>
    <col min="8199" max="8199" width="18.85546875" style="16" customWidth="1"/>
    <col min="8200" max="8200" width="12.28515625" style="16" bestFit="1" customWidth="1"/>
    <col min="8201" max="8448" width="9.140625" style="16"/>
    <col min="8449" max="8449" width="2.28515625" style="16" customWidth="1"/>
    <col min="8450" max="8450" width="5.7109375" style="16" customWidth="1"/>
    <col min="8451" max="8451" width="23.5703125" style="16" customWidth="1"/>
    <col min="8452" max="8452" width="16.7109375" style="16" customWidth="1"/>
    <col min="8453" max="8453" width="7.85546875" style="16" customWidth="1"/>
    <col min="8454" max="8454" width="2.28515625" style="16" customWidth="1"/>
    <col min="8455" max="8455" width="18.85546875" style="16" customWidth="1"/>
    <col min="8456" max="8456" width="12.28515625" style="16" bestFit="1" customWidth="1"/>
    <col min="8457" max="8704" width="9.140625" style="16"/>
    <col min="8705" max="8705" width="2.28515625" style="16" customWidth="1"/>
    <col min="8706" max="8706" width="5.7109375" style="16" customWidth="1"/>
    <col min="8707" max="8707" width="23.5703125" style="16" customWidth="1"/>
    <col min="8708" max="8708" width="16.7109375" style="16" customWidth="1"/>
    <col min="8709" max="8709" width="7.85546875" style="16" customWidth="1"/>
    <col min="8710" max="8710" width="2.28515625" style="16" customWidth="1"/>
    <col min="8711" max="8711" width="18.85546875" style="16" customWidth="1"/>
    <col min="8712" max="8712" width="12.28515625" style="16" bestFit="1" customWidth="1"/>
    <col min="8713" max="8960" width="9.140625" style="16"/>
    <col min="8961" max="8961" width="2.28515625" style="16" customWidth="1"/>
    <col min="8962" max="8962" width="5.7109375" style="16" customWidth="1"/>
    <col min="8963" max="8963" width="23.5703125" style="16" customWidth="1"/>
    <col min="8964" max="8964" width="16.7109375" style="16" customWidth="1"/>
    <col min="8965" max="8965" width="7.85546875" style="16" customWidth="1"/>
    <col min="8966" max="8966" width="2.28515625" style="16" customWidth="1"/>
    <col min="8967" max="8967" width="18.85546875" style="16" customWidth="1"/>
    <col min="8968" max="8968" width="12.28515625" style="16" bestFit="1" customWidth="1"/>
    <col min="8969" max="9216" width="9.140625" style="16"/>
    <col min="9217" max="9217" width="2.28515625" style="16" customWidth="1"/>
    <col min="9218" max="9218" width="5.7109375" style="16" customWidth="1"/>
    <col min="9219" max="9219" width="23.5703125" style="16" customWidth="1"/>
    <col min="9220" max="9220" width="16.7109375" style="16" customWidth="1"/>
    <col min="9221" max="9221" width="7.85546875" style="16" customWidth="1"/>
    <col min="9222" max="9222" width="2.28515625" style="16" customWidth="1"/>
    <col min="9223" max="9223" width="18.85546875" style="16" customWidth="1"/>
    <col min="9224" max="9224" width="12.28515625" style="16" bestFit="1" customWidth="1"/>
    <col min="9225" max="9472" width="9.140625" style="16"/>
    <col min="9473" max="9473" width="2.28515625" style="16" customWidth="1"/>
    <col min="9474" max="9474" width="5.7109375" style="16" customWidth="1"/>
    <col min="9475" max="9475" width="23.5703125" style="16" customWidth="1"/>
    <col min="9476" max="9476" width="16.7109375" style="16" customWidth="1"/>
    <col min="9477" max="9477" width="7.85546875" style="16" customWidth="1"/>
    <col min="9478" max="9478" width="2.28515625" style="16" customWidth="1"/>
    <col min="9479" max="9479" width="18.85546875" style="16" customWidth="1"/>
    <col min="9480" max="9480" width="12.28515625" style="16" bestFit="1" customWidth="1"/>
    <col min="9481" max="9728" width="9.140625" style="16"/>
    <col min="9729" max="9729" width="2.28515625" style="16" customWidth="1"/>
    <col min="9730" max="9730" width="5.7109375" style="16" customWidth="1"/>
    <col min="9731" max="9731" width="23.5703125" style="16" customWidth="1"/>
    <col min="9732" max="9732" width="16.7109375" style="16" customWidth="1"/>
    <col min="9733" max="9733" width="7.85546875" style="16" customWidth="1"/>
    <col min="9734" max="9734" width="2.28515625" style="16" customWidth="1"/>
    <col min="9735" max="9735" width="18.85546875" style="16" customWidth="1"/>
    <col min="9736" max="9736" width="12.28515625" style="16" bestFit="1" customWidth="1"/>
    <col min="9737" max="9984" width="9.140625" style="16"/>
    <col min="9985" max="9985" width="2.28515625" style="16" customWidth="1"/>
    <col min="9986" max="9986" width="5.7109375" style="16" customWidth="1"/>
    <col min="9987" max="9987" width="23.5703125" style="16" customWidth="1"/>
    <col min="9988" max="9988" width="16.7109375" style="16" customWidth="1"/>
    <col min="9989" max="9989" width="7.85546875" style="16" customWidth="1"/>
    <col min="9990" max="9990" width="2.28515625" style="16" customWidth="1"/>
    <col min="9991" max="9991" width="18.85546875" style="16" customWidth="1"/>
    <col min="9992" max="9992" width="12.28515625" style="16" bestFit="1" customWidth="1"/>
    <col min="9993" max="10240" width="9.140625" style="16"/>
    <col min="10241" max="10241" width="2.28515625" style="16" customWidth="1"/>
    <col min="10242" max="10242" width="5.7109375" style="16" customWidth="1"/>
    <col min="10243" max="10243" width="23.5703125" style="16" customWidth="1"/>
    <col min="10244" max="10244" width="16.7109375" style="16" customWidth="1"/>
    <col min="10245" max="10245" width="7.85546875" style="16" customWidth="1"/>
    <col min="10246" max="10246" width="2.28515625" style="16" customWidth="1"/>
    <col min="10247" max="10247" width="18.85546875" style="16" customWidth="1"/>
    <col min="10248" max="10248" width="12.28515625" style="16" bestFit="1" customWidth="1"/>
    <col min="10249" max="10496" width="9.140625" style="16"/>
    <col min="10497" max="10497" width="2.28515625" style="16" customWidth="1"/>
    <col min="10498" max="10498" width="5.7109375" style="16" customWidth="1"/>
    <col min="10499" max="10499" width="23.5703125" style="16" customWidth="1"/>
    <col min="10500" max="10500" width="16.7109375" style="16" customWidth="1"/>
    <col min="10501" max="10501" width="7.85546875" style="16" customWidth="1"/>
    <col min="10502" max="10502" width="2.28515625" style="16" customWidth="1"/>
    <col min="10503" max="10503" width="18.85546875" style="16" customWidth="1"/>
    <col min="10504" max="10504" width="12.28515625" style="16" bestFit="1" customWidth="1"/>
    <col min="10505" max="10752" width="9.140625" style="16"/>
    <col min="10753" max="10753" width="2.28515625" style="16" customWidth="1"/>
    <col min="10754" max="10754" width="5.7109375" style="16" customWidth="1"/>
    <col min="10755" max="10755" width="23.5703125" style="16" customWidth="1"/>
    <col min="10756" max="10756" width="16.7109375" style="16" customWidth="1"/>
    <col min="10757" max="10757" width="7.85546875" style="16" customWidth="1"/>
    <col min="10758" max="10758" width="2.28515625" style="16" customWidth="1"/>
    <col min="10759" max="10759" width="18.85546875" style="16" customWidth="1"/>
    <col min="10760" max="10760" width="12.28515625" style="16" bestFit="1" customWidth="1"/>
    <col min="10761" max="11008" width="9.140625" style="16"/>
    <col min="11009" max="11009" width="2.28515625" style="16" customWidth="1"/>
    <col min="11010" max="11010" width="5.7109375" style="16" customWidth="1"/>
    <col min="11011" max="11011" width="23.5703125" style="16" customWidth="1"/>
    <col min="11012" max="11012" width="16.7109375" style="16" customWidth="1"/>
    <col min="11013" max="11013" width="7.85546875" style="16" customWidth="1"/>
    <col min="11014" max="11014" width="2.28515625" style="16" customWidth="1"/>
    <col min="11015" max="11015" width="18.85546875" style="16" customWidth="1"/>
    <col min="11016" max="11016" width="12.28515625" style="16" bestFit="1" customWidth="1"/>
    <col min="11017" max="11264" width="9.140625" style="16"/>
    <col min="11265" max="11265" width="2.28515625" style="16" customWidth="1"/>
    <col min="11266" max="11266" width="5.7109375" style="16" customWidth="1"/>
    <col min="11267" max="11267" width="23.5703125" style="16" customWidth="1"/>
    <col min="11268" max="11268" width="16.7109375" style="16" customWidth="1"/>
    <col min="11269" max="11269" width="7.85546875" style="16" customWidth="1"/>
    <col min="11270" max="11270" width="2.28515625" style="16" customWidth="1"/>
    <col min="11271" max="11271" width="18.85546875" style="16" customWidth="1"/>
    <col min="11272" max="11272" width="12.28515625" style="16" bestFit="1" customWidth="1"/>
    <col min="11273" max="11520" width="9.140625" style="16"/>
    <col min="11521" max="11521" width="2.28515625" style="16" customWidth="1"/>
    <col min="11522" max="11522" width="5.7109375" style="16" customWidth="1"/>
    <col min="11523" max="11523" width="23.5703125" style="16" customWidth="1"/>
    <col min="11524" max="11524" width="16.7109375" style="16" customWidth="1"/>
    <col min="11525" max="11525" width="7.85546875" style="16" customWidth="1"/>
    <col min="11526" max="11526" width="2.28515625" style="16" customWidth="1"/>
    <col min="11527" max="11527" width="18.85546875" style="16" customWidth="1"/>
    <col min="11528" max="11528" width="12.28515625" style="16" bestFit="1" customWidth="1"/>
    <col min="11529" max="11776" width="9.140625" style="16"/>
    <col min="11777" max="11777" width="2.28515625" style="16" customWidth="1"/>
    <col min="11778" max="11778" width="5.7109375" style="16" customWidth="1"/>
    <col min="11779" max="11779" width="23.5703125" style="16" customWidth="1"/>
    <col min="11780" max="11780" width="16.7109375" style="16" customWidth="1"/>
    <col min="11781" max="11781" width="7.85546875" style="16" customWidth="1"/>
    <col min="11782" max="11782" width="2.28515625" style="16" customWidth="1"/>
    <col min="11783" max="11783" width="18.85546875" style="16" customWidth="1"/>
    <col min="11784" max="11784" width="12.28515625" style="16" bestFit="1" customWidth="1"/>
    <col min="11785" max="12032" width="9.140625" style="16"/>
    <col min="12033" max="12033" width="2.28515625" style="16" customWidth="1"/>
    <col min="12034" max="12034" width="5.7109375" style="16" customWidth="1"/>
    <col min="12035" max="12035" width="23.5703125" style="16" customWidth="1"/>
    <col min="12036" max="12036" width="16.7109375" style="16" customWidth="1"/>
    <col min="12037" max="12037" width="7.85546875" style="16" customWidth="1"/>
    <col min="12038" max="12038" width="2.28515625" style="16" customWidth="1"/>
    <col min="12039" max="12039" width="18.85546875" style="16" customWidth="1"/>
    <col min="12040" max="12040" width="12.28515625" style="16" bestFit="1" customWidth="1"/>
    <col min="12041" max="12288" width="9.140625" style="16"/>
    <col min="12289" max="12289" width="2.28515625" style="16" customWidth="1"/>
    <col min="12290" max="12290" width="5.7109375" style="16" customWidth="1"/>
    <col min="12291" max="12291" width="23.5703125" style="16" customWidth="1"/>
    <col min="12292" max="12292" width="16.7109375" style="16" customWidth="1"/>
    <col min="12293" max="12293" width="7.85546875" style="16" customWidth="1"/>
    <col min="12294" max="12294" width="2.28515625" style="16" customWidth="1"/>
    <col min="12295" max="12295" width="18.85546875" style="16" customWidth="1"/>
    <col min="12296" max="12296" width="12.28515625" style="16" bestFit="1" customWidth="1"/>
    <col min="12297" max="12544" width="9.140625" style="16"/>
    <col min="12545" max="12545" width="2.28515625" style="16" customWidth="1"/>
    <col min="12546" max="12546" width="5.7109375" style="16" customWidth="1"/>
    <col min="12547" max="12547" width="23.5703125" style="16" customWidth="1"/>
    <col min="12548" max="12548" width="16.7109375" style="16" customWidth="1"/>
    <col min="12549" max="12549" width="7.85546875" style="16" customWidth="1"/>
    <col min="12550" max="12550" width="2.28515625" style="16" customWidth="1"/>
    <col min="12551" max="12551" width="18.85546875" style="16" customWidth="1"/>
    <col min="12552" max="12552" width="12.28515625" style="16" bestFit="1" customWidth="1"/>
    <col min="12553" max="12800" width="9.140625" style="16"/>
    <col min="12801" max="12801" width="2.28515625" style="16" customWidth="1"/>
    <col min="12802" max="12802" width="5.7109375" style="16" customWidth="1"/>
    <col min="12803" max="12803" width="23.5703125" style="16" customWidth="1"/>
    <col min="12804" max="12804" width="16.7109375" style="16" customWidth="1"/>
    <col min="12805" max="12805" width="7.85546875" style="16" customWidth="1"/>
    <col min="12806" max="12806" width="2.28515625" style="16" customWidth="1"/>
    <col min="12807" max="12807" width="18.85546875" style="16" customWidth="1"/>
    <col min="12808" max="12808" width="12.28515625" style="16" bestFit="1" customWidth="1"/>
    <col min="12809" max="13056" width="9.140625" style="16"/>
    <col min="13057" max="13057" width="2.28515625" style="16" customWidth="1"/>
    <col min="13058" max="13058" width="5.7109375" style="16" customWidth="1"/>
    <col min="13059" max="13059" width="23.5703125" style="16" customWidth="1"/>
    <col min="13060" max="13060" width="16.7109375" style="16" customWidth="1"/>
    <col min="13061" max="13061" width="7.85546875" style="16" customWidth="1"/>
    <col min="13062" max="13062" width="2.28515625" style="16" customWidth="1"/>
    <col min="13063" max="13063" width="18.85546875" style="16" customWidth="1"/>
    <col min="13064" max="13064" width="12.28515625" style="16" bestFit="1" customWidth="1"/>
    <col min="13065" max="13312" width="9.140625" style="16"/>
    <col min="13313" max="13313" width="2.28515625" style="16" customWidth="1"/>
    <col min="13314" max="13314" width="5.7109375" style="16" customWidth="1"/>
    <col min="13315" max="13315" width="23.5703125" style="16" customWidth="1"/>
    <col min="13316" max="13316" width="16.7109375" style="16" customWidth="1"/>
    <col min="13317" max="13317" width="7.85546875" style="16" customWidth="1"/>
    <col min="13318" max="13318" width="2.28515625" style="16" customWidth="1"/>
    <col min="13319" max="13319" width="18.85546875" style="16" customWidth="1"/>
    <col min="13320" max="13320" width="12.28515625" style="16" bestFit="1" customWidth="1"/>
    <col min="13321" max="13568" width="9.140625" style="16"/>
    <col min="13569" max="13569" width="2.28515625" style="16" customWidth="1"/>
    <col min="13570" max="13570" width="5.7109375" style="16" customWidth="1"/>
    <col min="13571" max="13571" width="23.5703125" style="16" customWidth="1"/>
    <col min="13572" max="13572" width="16.7109375" style="16" customWidth="1"/>
    <col min="13573" max="13573" width="7.85546875" style="16" customWidth="1"/>
    <col min="13574" max="13574" width="2.28515625" style="16" customWidth="1"/>
    <col min="13575" max="13575" width="18.85546875" style="16" customWidth="1"/>
    <col min="13576" max="13576" width="12.28515625" style="16" bestFit="1" customWidth="1"/>
    <col min="13577" max="13824" width="9.140625" style="16"/>
    <col min="13825" max="13825" width="2.28515625" style="16" customWidth="1"/>
    <col min="13826" max="13826" width="5.7109375" style="16" customWidth="1"/>
    <col min="13827" max="13827" width="23.5703125" style="16" customWidth="1"/>
    <col min="13828" max="13828" width="16.7109375" style="16" customWidth="1"/>
    <col min="13829" max="13829" width="7.85546875" style="16" customWidth="1"/>
    <col min="13830" max="13830" width="2.28515625" style="16" customWidth="1"/>
    <col min="13831" max="13831" width="18.85546875" style="16" customWidth="1"/>
    <col min="13832" max="13832" width="12.28515625" style="16" bestFit="1" customWidth="1"/>
    <col min="13833" max="14080" width="9.140625" style="16"/>
    <col min="14081" max="14081" width="2.28515625" style="16" customWidth="1"/>
    <col min="14082" max="14082" width="5.7109375" style="16" customWidth="1"/>
    <col min="14083" max="14083" width="23.5703125" style="16" customWidth="1"/>
    <col min="14084" max="14084" width="16.7109375" style="16" customWidth="1"/>
    <col min="14085" max="14085" width="7.85546875" style="16" customWidth="1"/>
    <col min="14086" max="14086" width="2.28515625" style="16" customWidth="1"/>
    <col min="14087" max="14087" width="18.85546875" style="16" customWidth="1"/>
    <col min="14088" max="14088" width="12.28515625" style="16" bestFit="1" customWidth="1"/>
    <col min="14089" max="14336" width="9.140625" style="16"/>
    <col min="14337" max="14337" width="2.28515625" style="16" customWidth="1"/>
    <col min="14338" max="14338" width="5.7109375" style="16" customWidth="1"/>
    <col min="14339" max="14339" width="23.5703125" style="16" customWidth="1"/>
    <col min="14340" max="14340" width="16.7109375" style="16" customWidth="1"/>
    <col min="14341" max="14341" width="7.85546875" style="16" customWidth="1"/>
    <col min="14342" max="14342" width="2.28515625" style="16" customWidth="1"/>
    <col min="14343" max="14343" width="18.85546875" style="16" customWidth="1"/>
    <col min="14344" max="14344" width="12.28515625" style="16" bestFit="1" customWidth="1"/>
    <col min="14345" max="14592" width="9.140625" style="16"/>
    <col min="14593" max="14593" width="2.28515625" style="16" customWidth="1"/>
    <col min="14594" max="14594" width="5.7109375" style="16" customWidth="1"/>
    <col min="14595" max="14595" width="23.5703125" style="16" customWidth="1"/>
    <col min="14596" max="14596" width="16.7109375" style="16" customWidth="1"/>
    <col min="14597" max="14597" width="7.85546875" style="16" customWidth="1"/>
    <col min="14598" max="14598" width="2.28515625" style="16" customWidth="1"/>
    <col min="14599" max="14599" width="18.85546875" style="16" customWidth="1"/>
    <col min="14600" max="14600" width="12.28515625" style="16" bestFit="1" customWidth="1"/>
    <col min="14601" max="14848" width="9.140625" style="16"/>
    <col min="14849" max="14849" width="2.28515625" style="16" customWidth="1"/>
    <col min="14850" max="14850" width="5.7109375" style="16" customWidth="1"/>
    <col min="14851" max="14851" width="23.5703125" style="16" customWidth="1"/>
    <col min="14852" max="14852" width="16.7109375" style="16" customWidth="1"/>
    <col min="14853" max="14853" width="7.85546875" style="16" customWidth="1"/>
    <col min="14854" max="14854" width="2.28515625" style="16" customWidth="1"/>
    <col min="14855" max="14855" width="18.85546875" style="16" customWidth="1"/>
    <col min="14856" max="14856" width="12.28515625" style="16" bestFit="1" customWidth="1"/>
    <col min="14857" max="15104" width="9.140625" style="16"/>
    <col min="15105" max="15105" width="2.28515625" style="16" customWidth="1"/>
    <col min="15106" max="15106" width="5.7109375" style="16" customWidth="1"/>
    <col min="15107" max="15107" width="23.5703125" style="16" customWidth="1"/>
    <col min="15108" max="15108" width="16.7109375" style="16" customWidth="1"/>
    <col min="15109" max="15109" width="7.85546875" style="16" customWidth="1"/>
    <col min="15110" max="15110" width="2.28515625" style="16" customWidth="1"/>
    <col min="15111" max="15111" width="18.85546875" style="16" customWidth="1"/>
    <col min="15112" max="15112" width="12.28515625" style="16" bestFit="1" customWidth="1"/>
    <col min="15113" max="15360" width="9.140625" style="16"/>
    <col min="15361" max="15361" width="2.28515625" style="16" customWidth="1"/>
    <col min="15362" max="15362" width="5.7109375" style="16" customWidth="1"/>
    <col min="15363" max="15363" width="23.5703125" style="16" customWidth="1"/>
    <col min="15364" max="15364" width="16.7109375" style="16" customWidth="1"/>
    <col min="15365" max="15365" width="7.85546875" style="16" customWidth="1"/>
    <col min="15366" max="15366" width="2.28515625" style="16" customWidth="1"/>
    <col min="15367" max="15367" width="18.85546875" style="16" customWidth="1"/>
    <col min="15368" max="15368" width="12.28515625" style="16" bestFit="1" customWidth="1"/>
    <col min="15369" max="15616" width="9.140625" style="16"/>
    <col min="15617" max="15617" width="2.28515625" style="16" customWidth="1"/>
    <col min="15618" max="15618" width="5.7109375" style="16" customWidth="1"/>
    <col min="15619" max="15619" width="23.5703125" style="16" customWidth="1"/>
    <col min="15620" max="15620" width="16.7109375" style="16" customWidth="1"/>
    <col min="15621" max="15621" width="7.85546875" style="16" customWidth="1"/>
    <col min="15622" max="15622" width="2.28515625" style="16" customWidth="1"/>
    <col min="15623" max="15623" width="18.85546875" style="16" customWidth="1"/>
    <col min="15624" max="15624" width="12.28515625" style="16" bestFit="1" customWidth="1"/>
    <col min="15625" max="15872" width="9.140625" style="16"/>
    <col min="15873" max="15873" width="2.28515625" style="16" customWidth="1"/>
    <col min="15874" max="15874" width="5.7109375" style="16" customWidth="1"/>
    <col min="15875" max="15875" width="23.5703125" style="16" customWidth="1"/>
    <col min="15876" max="15876" width="16.7109375" style="16" customWidth="1"/>
    <col min="15877" max="15877" width="7.85546875" style="16" customWidth="1"/>
    <col min="15878" max="15878" width="2.28515625" style="16" customWidth="1"/>
    <col min="15879" max="15879" width="18.85546875" style="16" customWidth="1"/>
    <col min="15880" max="15880" width="12.28515625" style="16" bestFit="1" customWidth="1"/>
    <col min="15881" max="16128" width="9.140625" style="16"/>
    <col min="16129" max="16129" width="2.28515625" style="16" customWidth="1"/>
    <col min="16130" max="16130" width="5.7109375" style="16" customWidth="1"/>
    <col min="16131" max="16131" width="23.5703125" style="16" customWidth="1"/>
    <col min="16132" max="16132" width="16.7109375" style="16" customWidth="1"/>
    <col min="16133" max="16133" width="7.85546875" style="16" customWidth="1"/>
    <col min="16134" max="16134" width="2.28515625" style="16" customWidth="1"/>
    <col min="16135" max="16135" width="18.85546875" style="16" customWidth="1"/>
    <col min="16136" max="16136" width="12.28515625" style="16" bestFit="1" customWidth="1"/>
    <col min="16137" max="16384" width="9.140625" style="16"/>
  </cols>
  <sheetData>
    <row r="1" spans="1:14" x14ac:dyDescent="0.2">
      <c r="A1" s="106" t="s">
        <v>489</v>
      </c>
      <c r="B1" s="107"/>
      <c r="C1" s="107"/>
      <c r="D1" s="107"/>
      <c r="E1" s="107"/>
      <c r="F1" s="107"/>
      <c r="G1" s="107"/>
    </row>
    <row r="2" spans="1:14" x14ac:dyDescent="0.2">
      <c r="A2" s="106" t="s">
        <v>622</v>
      </c>
      <c r="B2" s="106"/>
      <c r="C2" s="106"/>
      <c r="D2" s="106"/>
      <c r="E2" s="106"/>
      <c r="F2" s="106"/>
      <c r="G2" s="106"/>
    </row>
    <row r="4" spans="1:14" x14ac:dyDescent="0.2">
      <c r="C4" s="21" t="s">
        <v>364</v>
      </c>
    </row>
    <row r="5" spans="1:14" x14ac:dyDescent="0.2">
      <c r="A5" s="21" t="s">
        <v>490</v>
      </c>
      <c r="B5" s="21"/>
      <c r="C5" s="21"/>
      <c r="D5" s="21"/>
      <c r="E5" s="81"/>
      <c r="G5" s="68"/>
    </row>
    <row r="6" spans="1:14" x14ac:dyDescent="0.2">
      <c r="B6" s="16" t="s">
        <v>491</v>
      </c>
      <c r="G6" s="69">
        <f>+'CF Worksheet'!J76</f>
        <v>3926539</v>
      </c>
    </row>
    <row r="7" spans="1:14" x14ac:dyDescent="0.2">
      <c r="B7" s="16" t="s">
        <v>492</v>
      </c>
      <c r="G7" s="70">
        <f>+'CF Worksheet'!K76</f>
        <v>-1672233</v>
      </c>
      <c r="N7" s="84">
        <v>477742.93</v>
      </c>
    </row>
    <row r="8" spans="1:14" x14ac:dyDescent="0.2">
      <c r="B8" s="16" t="s">
        <v>493</v>
      </c>
      <c r="G8" s="71">
        <f>+'CF Worksheet'!M76</f>
        <v>-2110969</v>
      </c>
      <c r="N8" s="84">
        <v>46160.2</v>
      </c>
    </row>
    <row r="9" spans="1:14" x14ac:dyDescent="0.2">
      <c r="G9" s="70"/>
      <c r="N9" s="84">
        <v>-234977.8</v>
      </c>
    </row>
    <row r="10" spans="1:14" x14ac:dyDescent="0.2">
      <c r="C10" s="24" t="s">
        <v>519</v>
      </c>
      <c r="G10" s="71">
        <f>SUM(G6:G9)</f>
        <v>143337</v>
      </c>
      <c r="H10" s="72"/>
      <c r="N10" s="84">
        <v>-45000</v>
      </c>
    </row>
    <row r="11" spans="1:14" x14ac:dyDescent="0.2">
      <c r="G11" s="70"/>
      <c r="H11" s="65"/>
      <c r="N11" s="84">
        <v>-450549.16</v>
      </c>
    </row>
    <row r="12" spans="1:14" hidden="1" x14ac:dyDescent="0.2">
      <c r="A12" s="16" t="s">
        <v>494</v>
      </c>
      <c r="G12" s="70"/>
      <c r="H12" s="65"/>
    </row>
    <row r="13" spans="1:14" hidden="1" x14ac:dyDescent="0.2">
      <c r="B13" s="16" t="s">
        <v>495</v>
      </c>
      <c r="G13" s="70">
        <v>0</v>
      </c>
      <c r="H13" s="65"/>
    </row>
    <row r="14" spans="1:14" hidden="1" x14ac:dyDescent="0.2">
      <c r="B14" s="16" t="s">
        <v>496</v>
      </c>
      <c r="G14" s="70">
        <v>0</v>
      </c>
      <c r="H14" s="65"/>
    </row>
    <row r="15" spans="1:14" hidden="1" x14ac:dyDescent="0.2">
      <c r="B15" s="16" t="s">
        <v>497</v>
      </c>
      <c r="G15" s="70">
        <v>0</v>
      </c>
      <c r="H15" s="65"/>
    </row>
    <row r="16" spans="1:14" hidden="1" x14ac:dyDescent="0.2">
      <c r="B16" s="16" t="s">
        <v>498</v>
      </c>
      <c r="G16" s="70">
        <v>0</v>
      </c>
      <c r="H16" s="65"/>
    </row>
    <row r="17" spans="1:14" hidden="1" x14ac:dyDescent="0.2">
      <c r="B17" s="16" t="s">
        <v>499</v>
      </c>
      <c r="G17" s="71">
        <v>0</v>
      </c>
      <c r="H17" s="65"/>
    </row>
    <row r="18" spans="1:14" hidden="1" x14ac:dyDescent="0.2">
      <c r="G18" s="70"/>
      <c r="H18" s="65"/>
    </row>
    <row r="19" spans="1:14" hidden="1" x14ac:dyDescent="0.2">
      <c r="C19" s="24" t="s">
        <v>500</v>
      </c>
      <c r="G19" s="73">
        <f>SUM(G13:G18)</f>
        <v>0</v>
      </c>
      <c r="H19" s="65"/>
    </row>
    <row r="20" spans="1:14" hidden="1" x14ac:dyDescent="0.2">
      <c r="G20" s="70"/>
      <c r="H20" s="65"/>
    </row>
    <row r="21" spans="1:14" ht="10.5" customHeight="1" x14ac:dyDescent="0.2">
      <c r="A21" s="21" t="s">
        <v>501</v>
      </c>
      <c r="B21" s="21"/>
      <c r="C21" s="21"/>
      <c r="D21" s="21"/>
      <c r="E21" s="81"/>
      <c r="F21" s="81"/>
      <c r="G21" s="82"/>
      <c r="N21" s="84">
        <v>38588.230000000003</v>
      </c>
    </row>
    <row r="22" spans="1:14" hidden="1" x14ac:dyDescent="0.2">
      <c r="B22" s="22" t="s">
        <v>502</v>
      </c>
      <c r="C22" s="22"/>
      <c r="D22" s="22"/>
      <c r="G22" s="74">
        <v>0</v>
      </c>
    </row>
    <row r="23" spans="1:14" ht="0.75" hidden="1" customHeight="1" x14ac:dyDescent="0.2">
      <c r="B23" s="16" t="s">
        <v>503</v>
      </c>
      <c r="G23" s="70">
        <f>+'CF Worksheet'!T76</f>
        <v>0</v>
      </c>
    </row>
    <row r="24" spans="1:14" x14ac:dyDescent="0.2">
      <c r="B24" s="16" t="s">
        <v>529</v>
      </c>
      <c r="G24" s="75">
        <f>+'CF Worksheet'!U76</f>
        <v>-26774</v>
      </c>
      <c r="N24" s="84">
        <v>-116164.74</v>
      </c>
    </row>
    <row r="25" spans="1:14" x14ac:dyDescent="0.2">
      <c r="G25" s="70"/>
      <c r="N25" s="84">
        <v>-241721.49</v>
      </c>
    </row>
    <row r="26" spans="1:14" x14ac:dyDescent="0.2">
      <c r="C26" s="24" t="s">
        <v>520</v>
      </c>
      <c r="G26" s="71">
        <f>SUM(G22:G25)</f>
        <v>-26774</v>
      </c>
      <c r="N26" s="84">
        <v>-1273.9100000000001</v>
      </c>
    </row>
    <row r="27" spans="1:14" x14ac:dyDescent="0.2">
      <c r="G27" s="76" t="s">
        <v>364</v>
      </c>
      <c r="N27" s="84">
        <v>-41009.72</v>
      </c>
    </row>
    <row r="28" spans="1:14" x14ac:dyDescent="0.2">
      <c r="A28" s="21" t="s">
        <v>504</v>
      </c>
      <c r="B28" s="21"/>
      <c r="C28" s="21"/>
      <c r="D28" s="21"/>
      <c r="E28" s="81"/>
      <c r="G28" s="76"/>
    </row>
    <row r="29" spans="1:14" hidden="1" x14ac:dyDescent="0.2">
      <c r="B29" s="24" t="s">
        <v>505</v>
      </c>
      <c r="G29" s="76">
        <v>0</v>
      </c>
    </row>
    <row r="30" spans="1:14" x14ac:dyDescent="0.2">
      <c r="B30" s="16" t="s">
        <v>506</v>
      </c>
      <c r="G30" s="73">
        <f>+'CF Worksheet'!V76</f>
        <v>2174</v>
      </c>
    </row>
    <row r="31" spans="1:14" x14ac:dyDescent="0.2">
      <c r="G31" s="76"/>
      <c r="N31" s="84">
        <f>SUM(N7:N27)</f>
        <v>-568205.46</v>
      </c>
    </row>
    <row r="32" spans="1:14" x14ac:dyDescent="0.2">
      <c r="C32" s="24" t="s">
        <v>507</v>
      </c>
      <c r="G32" s="73">
        <f>SUM(G29:G30)</f>
        <v>2174</v>
      </c>
    </row>
    <row r="33" spans="1:10" x14ac:dyDescent="0.2">
      <c r="G33" s="76"/>
    </row>
    <row r="34" spans="1:10" x14ac:dyDescent="0.2">
      <c r="A34" s="16" t="s">
        <v>523</v>
      </c>
      <c r="G34" s="70">
        <f>+G32+G10+G26+G19</f>
        <v>118737</v>
      </c>
      <c r="H34" s="30"/>
    </row>
    <row r="35" spans="1:10" x14ac:dyDescent="0.2">
      <c r="A35" s="21"/>
      <c r="G35" s="70"/>
    </row>
    <row r="36" spans="1:10" x14ac:dyDescent="0.2">
      <c r="A36" s="16" t="s">
        <v>521</v>
      </c>
      <c r="G36" s="75">
        <f>+'Net Assets'!E11</f>
        <v>1524826</v>
      </c>
    </row>
    <row r="37" spans="1:10" x14ac:dyDescent="0.2">
      <c r="A37" s="16" t="s">
        <v>364</v>
      </c>
      <c r="G37" s="70"/>
    </row>
    <row r="38" spans="1:10" ht="13.5" thickBot="1" x14ac:dyDescent="0.25">
      <c r="A38" s="16" t="s">
        <v>522</v>
      </c>
      <c r="G38" s="77">
        <f>SUM(G34:G37)</f>
        <v>1643563</v>
      </c>
      <c r="H38" s="72">
        <f>+'Net Assets'!D11+'Net Assets'!D12</f>
        <v>1643563</v>
      </c>
      <c r="I38" s="16" t="s">
        <v>508</v>
      </c>
      <c r="J38" s="72">
        <f>+G38-H38</f>
        <v>0</v>
      </c>
    </row>
    <row r="39" spans="1:10" ht="13.5" thickTop="1" x14ac:dyDescent="0.2">
      <c r="G39" s="68"/>
      <c r="H39" s="72"/>
    </row>
    <row r="40" spans="1:10" x14ac:dyDescent="0.2">
      <c r="A40" s="16" t="s">
        <v>524</v>
      </c>
      <c r="E40" s="16"/>
      <c r="H40" s="16" t="s">
        <v>364</v>
      </c>
    </row>
    <row r="41" spans="1:10" x14ac:dyDescent="0.2">
      <c r="A41" s="16" t="s">
        <v>528</v>
      </c>
      <c r="E41" s="16"/>
      <c r="H41" s="16" t="s">
        <v>364</v>
      </c>
    </row>
    <row r="42" spans="1:10" x14ac:dyDescent="0.2">
      <c r="B42" s="16" t="s">
        <v>509</v>
      </c>
      <c r="G42" s="78">
        <f>+'Rev &amp; Exp'!E55</f>
        <v>-507592</v>
      </c>
    </row>
    <row r="43" spans="1:10" x14ac:dyDescent="0.2">
      <c r="B43" s="16" t="s">
        <v>525</v>
      </c>
      <c r="G43" s="79"/>
    </row>
    <row r="44" spans="1:10" x14ac:dyDescent="0.2">
      <c r="B44" s="24" t="s">
        <v>526</v>
      </c>
      <c r="G44" s="79"/>
    </row>
    <row r="45" spans="1:10" x14ac:dyDescent="0.2">
      <c r="C45" s="16" t="s">
        <v>510</v>
      </c>
      <c r="G45" s="80">
        <f>+'Rev &amp; Exp'!E43</f>
        <v>10160</v>
      </c>
    </row>
    <row r="46" spans="1:10" x14ac:dyDescent="0.2">
      <c r="C46" s="16" t="s">
        <v>518</v>
      </c>
      <c r="G46" s="80">
        <f>-'CF Worksheet'!V76</f>
        <v>-2174</v>
      </c>
    </row>
    <row r="47" spans="1:10" x14ac:dyDescent="0.2">
      <c r="C47" s="16" t="s">
        <v>604</v>
      </c>
      <c r="G47" s="80">
        <v>70000</v>
      </c>
    </row>
    <row r="48" spans="1:10" x14ac:dyDescent="0.2">
      <c r="C48" s="16" t="s">
        <v>511</v>
      </c>
      <c r="G48" s="79"/>
    </row>
    <row r="49" spans="3:9" x14ac:dyDescent="0.2">
      <c r="C49" s="24" t="s">
        <v>512</v>
      </c>
      <c r="G49" s="25">
        <f>-'CF Worksheet'!H9-'CF Worksheet'!H10</f>
        <v>784898</v>
      </c>
    </row>
    <row r="50" spans="3:9" x14ac:dyDescent="0.2">
      <c r="C50" s="24" t="s">
        <v>513</v>
      </c>
      <c r="G50" s="80">
        <f>-'CF Worksheet'!H11</f>
        <v>15984</v>
      </c>
    </row>
    <row r="51" spans="3:9" x14ac:dyDescent="0.2">
      <c r="C51" s="24" t="s">
        <v>514</v>
      </c>
      <c r="G51" s="80">
        <f>+'CF Worksheet'!H16</f>
        <v>-28916</v>
      </c>
    </row>
    <row r="52" spans="3:9" x14ac:dyDescent="0.2">
      <c r="C52" s="24" t="s">
        <v>515</v>
      </c>
      <c r="G52" s="74">
        <f>+'CF Worksheet'!H18</f>
        <v>-169182</v>
      </c>
    </row>
    <row r="53" spans="3:9" x14ac:dyDescent="0.2">
      <c r="C53" s="24" t="s">
        <v>516</v>
      </c>
      <c r="G53" s="74">
        <f>+'CF Worksheet'!H19</f>
        <v>-16233</v>
      </c>
    </row>
    <row r="54" spans="3:9" x14ac:dyDescent="0.2">
      <c r="C54" s="24" t="s">
        <v>517</v>
      </c>
      <c r="G54" s="75">
        <f>+'CF Worksheet'!H21</f>
        <v>-13608</v>
      </c>
    </row>
    <row r="55" spans="3:9" x14ac:dyDescent="0.2">
      <c r="G55" s="79"/>
    </row>
    <row r="56" spans="3:9" ht="13.5" thickBot="1" x14ac:dyDescent="0.25">
      <c r="C56" s="24" t="s">
        <v>527</v>
      </c>
      <c r="G56" s="77">
        <f>SUM(G42:G54)</f>
        <v>143337</v>
      </c>
      <c r="H56" s="65">
        <f>+G56-G10</f>
        <v>0</v>
      </c>
      <c r="I56" s="65">
        <f>+G56-G10</f>
        <v>0</v>
      </c>
    </row>
    <row r="57" spans="3:9" ht="13.5" thickTop="1" x14ac:dyDescent="0.2">
      <c r="G57" s="79"/>
    </row>
  </sheetData>
  <mergeCells count="2">
    <mergeCell ref="A1:G1"/>
    <mergeCell ref="A2:G2"/>
  </mergeCells>
  <printOptions horizontalCentered="1"/>
  <pageMargins left="0.5" right="0.5" top="1.5" bottom="0.25" header="1" footer="0.5"/>
  <pageSetup firstPageNumber="4" orientation="portrait" useFirstPageNumber="1" r:id="rId1"/>
  <headerFooter scaleWithDoc="0" alignWithMargins="0">
    <oddFooter xml:space="preserve">&amp;C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9"/>
  <sheetViews>
    <sheetView view="pageBreakPreview" zoomScaleNormal="100" zoomScaleSheetLayoutView="100" workbookViewId="0">
      <pane ySplit="4" topLeftCell="A5" activePane="bottomLeft" state="frozen"/>
      <selection activeCell="D12" sqref="D12"/>
      <selection pane="bottomLeft" activeCell="F16" sqref="F16"/>
    </sheetView>
  </sheetViews>
  <sheetFormatPr defaultRowHeight="12.75" x14ac:dyDescent="0.2"/>
  <cols>
    <col min="1" max="1" width="2.140625" style="16" hidden="1" customWidth="1"/>
    <col min="2" max="3" width="9.140625" style="16"/>
    <col min="4" max="4" width="23.5703125" style="16" customWidth="1"/>
    <col min="5" max="5" width="12.85546875" style="84" customWidth="1"/>
    <col min="6" max="6" width="14" style="16" bestFit="1" customWidth="1"/>
    <col min="7" max="7" width="2.7109375" style="16" customWidth="1"/>
    <col min="8" max="8" width="13.7109375" style="16" bestFit="1" customWidth="1"/>
    <col min="9" max="9" width="3.42578125" style="16" customWidth="1"/>
    <col min="10" max="10" width="14" style="64" bestFit="1" customWidth="1"/>
    <col min="11" max="11" width="14.5703125" style="16" bestFit="1" customWidth="1"/>
    <col min="12" max="12" width="12.5703125" style="16" customWidth="1"/>
    <col min="13" max="13" width="14.5703125" style="16" bestFit="1" customWidth="1"/>
    <col min="14" max="18" width="10.85546875" style="16" hidden="1" customWidth="1"/>
    <col min="19" max="20" width="10.85546875" style="16" customWidth="1"/>
    <col min="21" max="21" width="13.42578125" style="16" bestFit="1" customWidth="1"/>
    <col min="22" max="22" width="10.85546875" style="16" customWidth="1"/>
    <col min="23" max="23" width="12.85546875" style="16" bestFit="1" customWidth="1"/>
    <col min="24" max="255" width="9.140625" style="16"/>
    <col min="256" max="256" width="0" style="16" hidden="1" customWidth="1"/>
    <col min="257" max="258" width="9.140625" style="16"/>
    <col min="259" max="259" width="21.42578125" style="16" customWidth="1"/>
    <col min="260" max="260" width="12.85546875" style="16" bestFit="1" customWidth="1"/>
    <col min="261" max="261" width="2.28515625" style="16" customWidth="1"/>
    <col min="262" max="262" width="13.5703125" style="16" bestFit="1" customWidth="1"/>
    <col min="263" max="263" width="2.7109375" style="16" customWidth="1"/>
    <col min="264" max="264" width="13.5703125" style="16" bestFit="1" customWidth="1"/>
    <col min="265" max="265" width="3.42578125" style="16" customWidth="1"/>
    <col min="266" max="266" width="12.28515625" style="16" bestFit="1" customWidth="1"/>
    <col min="267" max="267" width="12.5703125" style="16" bestFit="1" customWidth="1"/>
    <col min="268" max="268" width="12.5703125" style="16" customWidth="1"/>
    <col min="269" max="269" width="12.7109375" style="16" bestFit="1" customWidth="1"/>
    <col min="270" max="274" width="0" style="16" hidden="1" customWidth="1"/>
    <col min="275" max="276" width="10.85546875" style="16" customWidth="1"/>
    <col min="277" max="277" width="13.28515625" style="16" bestFit="1" customWidth="1"/>
    <col min="278" max="278" width="10.85546875" style="16" customWidth="1"/>
    <col min="279" max="279" width="11.42578125" style="16" bestFit="1" customWidth="1"/>
    <col min="280" max="511" width="9.140625" style="16"/>
    <col min="512" max="512" width="0" style="16" hidden="1" customWidth="1"/>
    <col min="513" max="514" width="9.140625" style="16"/>
    <col min="515" max="515" width="21.42578125" style="16" customWidth="1"/>
    <col min="516" max="516" width="12.85546875" style="16" bestFit="1" customWidth="1"/>
    <col min="517" max="517" width="2.28515625" style="16" customWidth="1"/>
    <col min="518" max="518" width="13.5703125" style="16" bestFit="1" customWidth="1"/>
    <col min="519" max="519" width="2.7109375" style="16" customWidth="1"/>
    <col min="520" max="520" width="13.5703125" style="16" bestFit="1" customWidth="1"/>
    <col min="521" max="521" width="3.42578125" style="16" customWidth="1"/>
    <col min="522" max="522" width="12.28515625" style="16" bestFit="1" customWidth="1"/>
    <col min="523" max="523" width="12.5703125" style="16" bestFit="1" customWidth="1"/>
    <col min="524" max="524" width="12.5703125" style="16" customWidth="1"/>
    <col min="525" max="525" width="12.7109375" style="16" bestFit="1" customWidth="1"/>
    <col min="526" max="530" width="0" style="16" hidden="1" customWidth="1"/>
    <col min="531" max="532" width="10.85546875" style="16" customWidth="1"/>
    <col min="533" max="533" width="13.28515625" style="16" bestFit="1" customWidth="1"/>
    <col min="534" max="534" width="10.85546875" style="16" customWidth="1"/>
    <col min="535" max="535" width="11.42578125" style="16" bestFit="1" customWidth="1"/>
    <col min="536" max="767" width="9.140625" style="16"/>
    <col min="768" max="768" width="0" style="16" hidden="1" customWidth="1"/>
    <col min="769" max="770" width="9.140625" style="16"/>
    <col min="771" max="771" width="21.42578125" style="16" customWidth="1"/>
    <col min="772" max="772" width="12.85546875" style="16" bestFit="1" customWidth="1"/>
    <col min="773" max="773" width="2.28515625" style="16" customWidth="1"/>
    <col min="774" max="774" width="13.5703125" style="16" bestFit="1" customWidth="1"/>
    <col min="775" max="775" width="2.7109375" style="16" customWidth="1"/>
    <col min="776" max="776" width="13.5703125" style="16" bestFit="1" customWidth="1"/>
    <col min="777" max="777" width="3.42578125" style="16" customWidth="1"/>
    <col min="778" max="778" width="12.28515625" style="16" bestFit="1" customWidth="1"/>
    <col min="779" max="779" width="12.5703125" style="16" bestFit="1" customWidth="1"/>
    <col min="780" max="780" width="12.5703125" style="16" customWidth="1"/>
    <col min="781" max="781" width="12.7109375" style="16" bestFit="1" customWidth="1"/>
    <col min="782" max="786" width="0" style="16" hidden="1" customWidth="1"/>
    <col min="787" max="788" width="10.85546875" style="16" customWidth="1"/>
    <col min="789" max="789" width="13.28515625" style="16" bestFit="1" customWidth="1"/>
    <col min="790" max="790" width="10.85546875" style="16" customWidth="1"/>
    <col min="791" max="791" width="11.42578125" style="16" bestFit="1" customWidth="1"/>
    <col min="792" max="1023" width="9.140625" style="16"/>
    <col min="1024" max="1024" width="0" style="16" hidden="1" customWidth="1"/>
    <col min="1025" max="1026" width="9.140625" style="16"/>
    <col min="1027" max="1027" width="21.42578125" style="16" customWidth="1"/>
    <col min="1028" max="1028" width="12.85546875" style="16" bestFit="1" customWidth="1"/>
    <col min="1029" max="1029" width="2.28515625" style="16" customWidth="1"/>
    <col min="1030" max="1030" width="13.5703125" style="16" bestFit="1" customWidth="1"/>
    <col min="1031" max="1031" width="2.7109375" style="16" customWidth="1"/>
    <col min="1032" max="1032" width="13.5703125" style="16" bestFit="1" customWidth="1"/>
    <col min="1033" max="1033" width="3.42578125" style="16" customWidth="1"/>
    <col min="1034" max="1034" width="12.28515625" style="16" bestFit="1" customWidth="1"/>
    <col min="1035" max="1035" width="12.5703125" style="16" bestFit="1" customWidth="1"/>
    <col min="1036" max="1036" width="12.5703125" style="16" customWidth="1"/>
    <col min="1037" max="1037" width="12.7109375" style="16" bestFit="1" customWidth="1"/>
    <col min="1038" max="1042" width="0" style="16" hidden="1" customWidth="1"/>
    <col min="1043" max="1044" width="10.85546875" style="16" customWidth="1"/>
    <col min="1045" max="1045" width="13.28515625" style="16" bestFit="1" customWidth="1"/>
    <col min="1046" max="1046" width="10.85546875" style="16" customWidth="1"/>
    <col min="1047" max="1047" width="11.42578125" style="16" bestFit="1" customWidth="1"/>
    <col min="1048" max="1279" width="9.140625" style="16"/>
    <col min="1280" max="1280" width="0" style="16" hidden="1" customWidth="1"/>
    <col min="1281" max="1282" width="9.140625" style="16"/>
    <col min="1283" max="1283" width="21.42578125" style="16" customWidth="1"/>
    <col min="1284" max="1284" width="12.85546875" style="16" bestFit="1" customWidth="1"/>
    <col min="1285" max="1285" width="2.28515625" style="16" customWidth="1"/>
    <col min="1286" max="1286" width="13.5703125" style="16" bestFit="1" customWidth="1"/>
    <col min="1287" max="1287" width="2.7109375" style="16" customWidth="1"/>
    <col min="1288" max="1288" width="13.5703125" style="16" bestFit="1" customWidth="1"/>
    <col min="1289" max="1289" width="3.42578125" style="16" customWidth="1"/>
    <col min="1290" max="1290" width="12.28515625" style="16" bestFit="1" customWidth="1"/>
    <col min="1291" max="1291" width="12.5703125" style="16" bestFit="1" customWidth="1"/>
    <col min="1292" max="1292" width="12.5703125" style="16" customWidth="1"/>
    <col min="1293" max="1293" width="12.7109375" style="16" bestFit="1" customWidth="1"/>
    <col min="1294" max="1298" width="0" style="16" hidden="1" customWidth="1"/>
    <col min="1299" max="1300" width="10.85546875" style="16" customWidth="1"/>
    <col min="1301" max="1301" width="13.28515625" style="16" bestFit="1" customWidth="1"/>
    <col min="1302" max="1302" width="10.85546875" style="16" customWidth="1"/>
    <col min="1303" max="1303" width="11.42578125" style="16" bestFit="1" customWidth="1"/>
    <col min="1304" max="1535" width="9.140625" style="16"/>
    <col min="1536" max="1536" width="0" style="16" hidden="1" customWidth="1"/>
    <col min="1537" max="1538" width="9.140625" style="16"/>
    <col min="1539" max="1539" width="21.42578125" style="16" customWidth="1"/>
    <col min="1540" max="1540" width="12.85546875" style="16" bestFit="1" customWidth="1"/>
    <col min="1541" max="1541" width="2.28515625" style="16" customWidth="1"/>
    <col min="1542" max="1542" width="13.5703125" style="16" bestFit="1" customWidth="1"/>
    <col min="1543" max="1543" width="2.7109375" style="16" customWidth="1"/>
    <col min="1544" max="1544" width="13.5703125" style="16" bestFit="1" customWidth="1"/>
    <col min="1545" max="1545" width="3.42578125" style="16" customWidth="1"/>
    <col min="1546" max="1546" width="12.28515625" style="16" bestFit="1" customWidth="1"/>
    <col min="1547" max="1547" width="12.5703125" style="16" bestFit="1" customWidth="1"/>
    <col min="1548" max="1548" width="12.5703125" style="16" customWidth="1"/>
    <col min="1549" max="1549" width="12.7109375" style="16" bestFit="1" customWidth="1"/>
    <col min="1550" max="1554" width="0" style="16" hidden="1" customWidth="1"/>
    <col min="1555" max="1556" width="10.85546875" style="16" customWidth="1"/>
    <col min="1557" max="1557" width="13.28515625" style="16" bestFit="1" customWidth="1"/>
    <col min="1558" max="1558" width="10.85546875" style="16" customWidth="1"/>
    <col min="1559" max="1559" width="11.42578125" style="16" bestFit="1" customWidth="1"/>
    <col min="1560" max="1791" width="9.140625" style="16"/>
    <col min="1792" max="1792" width="0" style="16" hidden="1" customWidth="1"/>
    <col min="1793" max="1794" width="9.140625" style="16"/>
    <col min="1795" max="1795" width="21.42578125" style="16" customWidth="1"/>
    <col min="1796" max="1796" width="12.85546875" style="16" bestFit="1" customWidth="1"/>
    <col min="1797" max="1797" width="2.28515625" style="16" customWidth="1"/>
    <col min="1798" max="1798" width="13.5703125" style="16" bestFit="1" customWidth="1"/>
    <col min="1799" max="1799" width="2.7109375" style="16" customWidth="1"/>
    <col min="1800" max="1800" width="13.5703125" style="16" bestFit="1" customWidth="1"/>
    <col min="1801" max="1801" width="3.42578125" style="16" customWidth="1"/>
    <col min="1802" max="1802" width="12.28515625" style="16" bestFit="1" customWidth="1"/>
    <col min="1803" max="1803" width="12.5703125" style="16" bestFit="1" customWidth="1"/>
    <col min="1804" max="1804" width="12.5703125" style="16" customWidth="1"/>
    <col min="1805" max="1805" width="12.7109375" style="16" bestFit="1" customWidth="1"/>
    <col min="1806" max="1810" width="0" style="16" hidden="1" customWidth="1"/>
    <col min="1811" max="1812" width="10.85546875" style="16" customWidth="1"/>
    <col min="1813" max="1813" width="13.28515625" style="16" bestFit="1" customWidth="1"/>
    <col min="1814" max="1814" width="10.85546875" style="16" customWidth="1"/>
    <col min="1815" max="1815" width="11.42578125" style="16" bestFit="1" customWidth="1"/>
    <col min="1816" max="2047" width="9.140625" style="16"/>
    <col min="2048" max="2048" width="0" style="16" hidden="1" customWidth="1"/>
    <col min="2049" max="2050" width="9.140625" style="16"/>
    <col min="2051" max="2051" width="21.42578125" style="16" customWidth="1"/>
    <col min="2052" max="2052" width="12.85546875" style="16" bestFit="1" customWidth="1"/>
    <col min="2053" max="2053" width="2.28515625" style="16" customWidth="1"/>
    <col min="2054" max="2054" width="13.5703125" style="16" bestFit="1" customWidth="1"/>
    <col min="2055" max="2055" width="2.7109375" style="16" customWidth="1"/>
    <col min="2056" max="2056" width="13.5703125" style="16" bestFit="1" customWidth="1"/>
    <col min="2057" max="2057" width="3.42578125" style="16" customWidth="1"/>
    <col min="2058" max="2058" width="12.28515625" style="16" bestFit="1" customWidth="1"/>
    <col min="2059" max="2059" width="12.5703125" style="16" bestFit="1" customWidth="1"/>
    <col min="2060" max="2060" width="12.5703125" style="16" customWidth="1"/>
    <col min="2061" max="2061" width="12.7109375" style="16" bestFit="1" customWidth="1"/>
    <col min="2062" max="2066" width="0" style="16" hidden="1" customWidth="1"/>
    <col min="2067" max="2068" width="10.85546875" style="16" customWidth="1"/>
    <col min="2069" max="2069" width="13.28515625" style="16" bestFit="1" customWidth="1"/>
    <col min="2070" max="2070" width="10.85546875" style="16" customWidth="1"/>
    <col min="2071" max="2071" width="11.42578125" style="16" bestFit="1" customWidth="1"/>
    <col min="2072" max="2303" width="9.140625" style="16"/>
    <col min="2304" max="2304" width="0" style="16" hidden="1" customWidth="1"/>
    <col min="2305" max="2306" width="9.140625" style="16"/>
    <col min="2307" max="2307" width="21.42578125" style="16" customWidth="1"/>
    <col min="2308" max="2308" width="12.85546875" style="16" bestFit="1" customWidth="1"/>
    <col min="2309" max="2309" width="2.28515625" style="16" customWidth="1"/>
    <col min="2310" max="2310" width="13.5703125" style="16" bestFit="1" customWidth="1"/>
    <col min="2311" max="2311" width="2.7109375" style="16" customWidth="1"/>
    <col min="2312" max="2312" width="13.5703125" style="16" bestFit="1" customWidth="1"/>
    <col min="2313" max="2313" width="3.42578125" style="16" customWidth="1"/>
    <col min="2314" max="2314" width="12.28515625" style="16" bestFit="1" customWidth="1"/>
    <col min="2315" max="2315" width="12.5703125" style="16" bestFit="1" customWidth="1"/>
    <col min="2316" max="2316" width="12.5703125" style="16" customWidth="1"/>
    <col min="2317" max="2317" width="12.7109375" style="16" bestFit="1" customWidth="1"/>
    <col min="2318" max="2322" width="0" style="16" hidden="1" customWidth="1"/>
    <col min="2323" max="2324" width="10.85546875" style="16" customWidth="1"/>
    <col min="2325" max="2325" width="13.28515625" style="16" bestFit="1" customWidth="1"/>
    <col min="2326" max="2326" width="10.85546875" style="16" customWidth="1"/>
    <col min="2327" max="2327" width="11.42578125" style="16" bestFit="1" customWidth="1"/>
    <col min="2328" max="2559" width="9.140625" style="16"/>
    <col min="2560" max="2560" width="0" style="16" hidden="1" customWidth="1"/>
    <col min="2561" max="2562" width="9.140625" style="16"/>
    <col min="2563" max="2563" width="21.42578125" style="16" customWidth="1"/>
    <col min="2564" max="2564" width="12.85546875" style="16" bestFit="1" customWidth="1"/>
    <col min="2565" max="2565" width="2.28515625" style="16" customWidth="1"/>
    <col min="2566" max="2566" width="13.5703125" style="16" bestFit="1" customWidth="1"/>
    <col min="2567" max="2567" width="2.7109375" style="16" customWidth="1"/>
    <col min="2568" max="2568" width="13.5703125" style="16" bestFit="1" customWidth="1"/>
    <col min="2569" max="2569" width="3.42578125" style="16" customWidth="1"/>
    <col min="2570" max="2570" width="12.28515625" style="16" bestFit="1" customWidth="1"/>
    <col min="2571" max="2571" width="12.5703125" style="16" bestFit="1" customWidth="1"/>
    <col min="2572" max="2572" width="12.5703125" style="16" customWidth="1"/>
    <col min="2573" max="2573" width="12.7109375" style="16" bestFit="1" customWidth="1"/>
    <col min="2574" max="2578" width="0" style="16" hidden="1" customWidth="1"/>
    <col min="2579" max="2580" width="10.85546875" style="16" customWidth="1"/>
    <col min="2581" max="2581" width="13.28515625" style="16" bestFit="1" customWidth="1"/>
    <col min="2582" max="2582" width="10.85546875" style="16" customWidth="1"/>
    <col min="2583" max="2583" width="11.42578125" style="16" bestFit="1" customWidth="1"/>
    <col min="2584" max="2815" width="9.140625" style="16"/>
    <col min="2816" max="2816" width="0" style="16" hidden="1" customWidth="1"/>
    <col min="2817" max="2818" width="9.140625" style="16"/>
    <col min="2819" max="2819" width="21.42578125" style="16" customWidth="1"/>
    <col min="2820" max="2820" width="12.85546875" style="16" bestFit="1" customWidth="1"/>
    <col min="2821" max="2821" width="2.28515625" style="16" customWidth="1"/>
    <col min="2822" max="2822" width="13.5703125" style="16" bestFit="1" customWidth="1"/>
    <col min="2823" max="2823" width="2.7109375" style="16" customWidth="1"/>
    <col min="2824" max="2824" width="13.5703125" style="16" bestFit="1" customWidth="1"/>
    <col min="2825" max="2825" width="3.42578125" style="16" customWidth="1"/>
    <col min="2826" max="2826" width="12.28515625" style="16" bestFit="1" customWidth="1"/>
    <col min="2827" max="2827" width="12.5703125" style="16" bestFit="1" customWidth="1"/>
    <col min="2828" max="2828" width="12.5703125" style="16" customWidth="1"/>
    <col min="2829" max="2829" width="12.7109375" style="16" bestFit="1" customWidth="1"/>
    <col min="2830" max="2834" width="0" style="16" hidden="1" customWidth="1"/>
    <col min="2835" max="2836" width="10.85546875" style="16" customWidth="1"/>
    <col min="2837" max="2837" width="13.28515625" style="16" bestFit="1" customWidth="1"/>
    <col min="2838" max="2838" width="10.85546875" style="16" customWidth="1"/>
    <col min="2839" max="2839" width="11.42578125" style="16" bestFit="1" customWidth="1"/>
    <col min="2840" max="3071" width="9.140625" style="16"/>
    <col min="3072" max="3072" width="0" style="16" hidden="1" customWidth="1"/>
    <col min="3073" max="3074" width="9.140625" style="16"/>
    <col min="3075" max="3075" width="21.42578125" style="16" customWidth="1"/>
    <col min="3076" max="3076" width="12.85546875" style="16" bestFit="1" customWidth="1"/>
    <col min="3077" max="3077" width="2.28515625" style="16" customWidth="1"/>
    <col min="3078" max="3078" width="13.5703125" style="16" bestFit="1" customWidth="1"/>
    <col min="3079" max="3079" width="2.7109375" style="16" customWidth="1"/>
    <col min="3080" max="3080" width="13.5703125" style="16" bestFit="1" customWidth="1"/>
    <col min="3081" max="3081" width="3.42578125" style="16" customWidth="1"/>
    <col min="3082" max="3082" width="12.28515625" style="16" bestFit="1" customWidth="1"/>
    <col min="3083" max="3083" width="12.5703125" style="16" bestFit="1" customWidth="1"/>
    <col min="3084" max="3084" width="12.5703125" style="16" customWidth="1"/>
    <col min="3085" max="3085" width="12.7109375" style="16" bestFit="1" customWidth="1"/>
    <col min="3086" max="3090" width="0" style="16" hidden="1" customWidth="1"/>
    <col min="3091" max="3092" width="10.85546875" style="16" customWidth="1"/>
    <col min="3093" max="3093" width="13.28515625" style="16" bestFit="1" customWidth="1"/>
    <col min="3094" max="3094" width="10.85546875" style="16" customWidth="1"/>
    <col min="3095" max="3095" width="11.42578125" style="16" bestFit="1" customWidth="1"/>
    <col min="3096" max="3327" width="9.140625" style="16"/>
    <col min="3328" max="3328" width="0" style="16" hidden="1" customWidth="1"/>
    <col min="3329" max="3330" width="9.140625" style="16"/>
    <col min="3331" max="3331" width="21.42578125" style="16" customWidth="1"/>
    <col min="3332" max="3332" width="12.85546875" style="16" bestFit="1" customWidth="1"/>
    <col min="3333" max="3333" width="2.28515625" style="16" customWidth="1"/>
    <col min="3334" max="3334" width="13.5703125" style="16" bestFit="1" customWidth="1"/>
    <col min="3335" max="3335" width="2.7109375" style="16" customWidth="1"/>
    <col min="3336" max="3336" width="13.5703125" style="16" bestFit="1" customWidth="1"/>
    <col min="3337" max="3337" width="3.42578125" style="16" customWidth="1"/>
    <col min="3338" max="3338" width="12.28515625" style="16" bestFit="1" customWidth="1"/>
    <col min="3339" max="3339" width="12.5703125" style="16" bestFit="1" customWidth="1"/>
    <col min="3340" max="3340" width="12.5703125" style="16" customWidth="1"/>
    <col min="3341" max="3341" width="12.7109375" style="16" bestFit="1" customWidth="1"/>
    <col min="3342" max="3346" width="0" style="16" hidden="1" customWidth="1"/>
    <col min="3347" max="3348" width="10.85546875" style="16" customWidth="1"/>
    <col min="3349" max="3349" width="13.28515625" style="16" bestFit="1" customWidth="1"/>
    <col min="3350" max="3350" width="10.85546875" style="16" customWidth="1"/>
    <col min="3351" max="3351" width="11.42578125" style="16" bestFit="1" customWidth="1"/>
    <col min="3352" max="3583" width="9.140625" style="16"/>
    <col min="3584" max="3584" width="0" style="16" hidden="1" customWidth="1"/>
    <col min="3585" max="3586" width="9.140625" style="16"/>
    <col min="3587" max="3587" width="21.42578125" style="16" customWidth="1"/>
    <col min="3588" max="3588" width="12.85546875" style="16" bestFit="1" customWidth="1"/>
    <col min="3589" max="3589" width="2.28515625" style="16" customWidth="1"/>
    <col min="3590" max="3590" width="13.5703125" style="16" bestFit="1" customWidth="1"/>
    <col min="3591" max="3591" width="2.7109375" style="16" customWidth="1"/>
    <col min="3592" max="3592" width="13.5703125" style="16" bestFit="1" customWidth="1"/>
    <col min="3593" max="3593" width="3.42578125" style="16" customWidth="1"/>
    <col min="3594" max="3594" width="12.28515625" style="16" bestFit="1" customWidth="1"/>
    <col min="3595" max="3595" width="12.5703125" style="16" bestFit="1" customWidth="1"/>
    <col min="3596" max="3596" width="12.5703125" style="16" customWidth="1"/>
    <col min="3597" max="3597" width="12.7109375" style="16" bestFit="1" customWidth="1"/>
    <col min="3598" max="3602" width="0" style="16" hidden="1" customWidth="1"/>
    <col min="3603" max="3604" width="10.85546875" style="16" customWidth="1"/>
    <col min="3605" max="3605" width="13.28515625" style="16" bestFit="1" customWidth="1"/>
    <col min="3606" max="3606" width="10.85546875" style="16" customWidth="1"/>
    <col min="3607" max="3607" width="11.42578125" style="16" bestFit="1" customWidth="1"/>
    <col min="3608" max="3839" width="9.140625" style="16"/>
    <col min="3840" max="3840" width="0" style="16" hidden="1" customWidth="1"/>
    <col min="3841" max="3842" width="9.140625" style="16"/>
    <col min="3843" max="3843" width="21.42578125" style="16" customWidth="1"/>
    <col min="3844" max="3844" width="12.85546875" style="16" bestFit="1" customWidth="1"/>
    <col min="3845" max="3845" width="2.28515625" style="16" customWidth="1"/>
    <col min="3846" max="3846" width="13.5703125" style="16" bestFit="1" customWidth="1"/>
    <col min="3847" max="3847" width="2.7109375" style="16" customWidth="1"/>
    <col min="3848" max="3848" width="13.5703125" style="16" bestFit="1" customWidth="1"/>
    <col min="3849" max="3849" width="3.42578125" style="16" customWidth="1"/>
    <col min="3850" max="3850" width="12.28515625" style="16" bestFit="1" customWidth="1"/>
    <col min="3851" max="3851" width="12.5703125" style="16" bestFit="1" customWidth="1"/>
    <col min="3852" max="3852" width="12.5703125" style="16" customWidth="1"/>
    <col min="3853" max="3853" width="12.7109375" style="16" bestFit="1" customWidth="1"/>
    <col min="3854" max="3858" width="0" style="16" hidden="1" customWidth="1"/>
    <col min="3859" max="3860" width="10.85546875" style="16" customWidth="1"/>
    <col min="3861" max="3861" width="13.28515625" style="16" bestFit="1" customWidth="1"/>
    <col min="3862" max="3862" width="10.85546875" style="16" customWidth="1"/>
    <col min="3863" max="3863" width="11.42578125" style="16" bestFit="1" customWidth="1"/>
    <col min="3864" max="4095" width="9.140625" style="16"/>
    <col min="4096" max="4096" width="0" style="16" hidden="1" customWidth="1"/>
    <col min="4097" max="4098" width="9.140625" style="16"/>
    <col min="4099" max="4099" width="21.42578125" style="16" customWidth="1"/>
    <col min="4100" max="4100" width="12.85546875" style="16" bestFit="1" customWidth="1"/>
    <col min="4101" max="4101" width="2.28515625" style="16" customWidth="1"/>
    <col min="4102" max="4102" width="13.5703125" style="16" bestFit="1" customWidth="1"/>
    <col min="4103" max="4103" width="2.7109375" style="16" customWidth="1"/>
    <col min="4104" max="4104" width="13.5703125" style="16" bestFit="1" customWidth="1"/>
    <col min="4105" max="4105" width="3.42578125" style="16" customWidth="1"/>
    <col min="4106" max="4106" width="12.28515625" style="16" bestFit="1" customWidth="1"/>
    <col min="4107" max="4107" width="12.5703125" style="16" bestFit="1" customWidth="1"/>
    <col min="4108" max="4108" width="12.5703125" style="16" customWidth="1"/>
    <col min="4109" max="4109" width="12.7109375" style="16" bestFit="1" customWidth="1"/>
    <col min="4110" max="4114" width="0" style="16" hidden="1" customWidth="1"/>
    <col min="4115" max="4116" width="10.85546875" style="16" customWidth="1"/>
    <col min="4117" max="4117" width="13.28515625" style="16" bestFit="1" customWidth="1"/>
    <col min="4118" max="4118" width="10.85546875" style="16" customWidth="1"/>
    <col min="4119" max="4119" width="11.42578125" style="16" bestFit="1" customWidth="1"/>
    <col min="4120" max="4351" width="9.140625" style="16"/>
    <col min="4352" max="4352" width="0" style="16" hidden="1" customWidth="1"/>
    <col min="4353" max="4354" width="9.140625" style="16"/>
    <col min="4355" max="4355" width="21.42578125" style="16" customWidth="1"/>
    <col min="4356" max="4356" width="12.85546875" style="16" bestFit="1" customWidth="1"/>
    <col min="4357" max="4357" width="2.28515625" style="16" customWidth="1"/>
    <col min="4358" max="4358" width="13.5703125" style="16" bestFit="1" customWidth="1"/>
    <col min="4359" max="4359" width="2.7109375" style="16" customWidth="1"/>
    <col min="4360" max="4360" width="13.5703125" style="16" bestFit="1" customWidth="1"/>
    <col min="4361" max="4361" width="3.42578125" style="16" customWidth="1"/>
    <col min="4362" max="4362" width="12.28515625" style="16" bestFit="1" customWidth="1"/>
    <col min="4363" max="4363" width="12.5703125" style="16" bestFit="1" customWidth="1"/>
    <col min="4364" max="4364" width="12.5703125" style="16" customWidth="1"/>
    <col min="4365" max="4365" width="12.7109375" style="16" bestFit="1" customWidth="1"/>
    <col min="4366" max="4370" width="0" style="16" hidden="1" customWidth="1"/>
    <col min="4371" max="4372" width="10.85546875" style="16" customWidth="1"/>
    <col min="4373" max="4373" width="13.28515625" style="16" bestFit="1" customWidth="1"/>
    <col min="4374" max="4374" width="10.85546875" style="16" customWidth="1"/>
    <col min="4375" max="4375" width="11.42578125" style="16" bestFit="1" customWidth="1"/>
    <col min="4376" max="4607" width="9.140625" style="16"/>
    <col min="4608" max="4608" width="0" style="16" hidden="1" customWidth="1"/>
    <col min="4609" max="4610" width="9.140625" style="16"/>
    <col min="4611" max="4611" width="21.42578125" style="16" customWidth="1"/>
    <col min="4612" max="4612" width="12.85546875" style="16" bestFit="1" customWidth="1"/>
    <col min="4613" max="4613" width="2.28515625" style="16" customWidth="1"/>
    <col min="4614" max="4614" width="13.5703125" style="16" bestFit="1" customWidth="1"/>
    <col min="4615" max="4615" width="2.7109375" style="16" customWidth="1"/>
    <col min="4616" max="4616" width="13.5703125" style="16" bestFit="1" customWidth="1"/>
    <col min="4617" max="4617" width="3.42578125" style="16" customWidth="1"/>
    <col min="4618" max="4618" width="12.28515625" style="16" bestFit="1" customWidth="1"/>
    <col min="4619" max="4619" width="12.5703125" style="16" bestFit="1" customWidth="1"/>
    <col min="4620" max="4620" width="12.5703125" style="16" customWidth="1"/>
    <col min="4621" max="4621" width="12.7109375" style="16" bestFit="1" customWidth="1"/>
    <col min="4622" max="4626" width="0" style="16" hidden="1" customWidth="1"/>
    <col min="4627" max="4628" width="10.85546875" style="16" customWidth="1"/>
    <col min="4629" max="4629" width="13.28515625" style="16" bestFit="1" customWidth="1"/>
    <col min="4630" max="4630" width="10.85546875" style="16" customWidth="1"/>
    <col min="4631" max="4631" width="11.42578125" style="16" bestFit="1" customWidth="1"/>
    <col min="4632" max="4863" width="9.140625" style="16"/>
    <col min="4864" max="4864" width="0" style="16" hidden="1" customWidth="1"/>
    <col min="4865" max="4866" width="9.140625" style="16"/>
    <col min="4867" max="4867" width="21.42578125" style="16" customWidth="1"/>
    <col min="4868" max="4868" width="12.85546875" style="16" bestFit="1" customWidth="1"/>
    <col min="4869" max="4869" width="2.28515625" style="16" customWidth="1"/>
    <col min="4870" max="4870" width="13.5703125" style="16" bestFit="1" customWidth="1"/>
    <col min="4871" max="4871" width="2.7109375" style="16" customWidth="1"/>
    <col min="4872" max="4872" width="13.5703125" style="16" bestFit="1" customWidth="1"/>
    <col min="4873" max="4873" width="3.42578125" style="16" customWidth="1"/>
    <col min="4874" max="4874" width="12.28515625" style="16" bestFit="1" customWidth="1"/>
    <col min="4875" max="4875" width="12.5703125" style="16" bestFit="1" customWidth="1"/>
    <col min="4876" max="4876" width="12.5703125" style="16" customWidth="1"/>
    <col min="4877" max="4877" width="12.7109375" style="16" bestFit="1" customWidth="1"/>
    <col min="4878" max="4882" width="0" style="16" hidden="1" customWidth="1"/>
    <col min="4883" max="4884" width="10.85546875" style="16" customWidth="1"/>
    <col min="4885" max="4885" width="13.28515625" style="16" bestFit="1" customWidth="1"/>
    <col min="4886" max="4886" width="10.85546875" style="16" customWidth="1"/>
    <col min="4887" max="4887" width="11.42578125" style="16" bestFit="1" customWidth="1"/>
    <col min="4888" max="5119" width="9.140625" style="16"/>
    <col min="5120" max="5120" width="0" style="16" hidden="1" customWidth="1"/>
    <col min="5121" max="5122" width="9.140625" style="16"/>
    <col min="5123" max="5123" width="21.42578125" style="16" customWidth="1"/>
    <col min="5124" max="5124" width="12.85546875" style="16" bestFit="1" customWidth="1"/>
    <col min="5125" max="5125" width="2.28515625" style="16" customWidth="1"/>
    <col min="5126" max="5126" width="13.5703125" style="16" bestFit="1" customWidth="1"/>
    <col min="5127" max="5127" width="2.7109375" style="16" customWidth="1"/>
    <col min="5128" max="5128" width="13.5703125" style="16" bestFit="1" customWidth="1"/>
    <col min="5129" max="5129" width="3.42578125" style="16" customWidth="1"/>
    <col min="5130" max="5130" width="12.28515625" style="16" bestFit="1" customWidth="1"/>
    <col min="5131" max="5131" width="12.5703125" style="16" bestFit="1" customWidth="1"/>
    <col min="5132" max="5132" width="12.5703125" style="16" customWidth="1"/>
    <col min="5133" max="5133" width="12.7109375" style="16" bestFit="1" customWidth="1"/>
    <col min="5134" max="5138" width="0" style="16" hidden="1" customWidth="1"/>
    <col min="5139" max="5140" width="10.85546875" style="16" customWidth="1"/>
    <col min="5141" max="5141" width="13.28515625" style="16" bestFit="1" customWidth="1"/>
    <col min="5142" max="5142" width="10.85546875" style="16" customWidth="1"/>
    <col min="5143" max="5143" width="11.42578125" style="16" bestFit="1" customWidth="1"/>
    <col min="5144" max="5375" width="9.140625" style="16"/>
    <col min="5376" max="5376" width="0" style="16" hidden="1" customWidth="1"/>
    <col min="5377" max="5378" width="9.140625" style="16"/>
    <col min="5379" max="5379" width="21.42578125" style="16" customWidth="1"/>
    <col min="5380" max="5380" width="12.85546875" style="16" bestFit="1" customWidth="1"/>
    <col min="5381" max="5381" width="2.28515625" style="16" customWidth="1"/>
    <col min="5382" max="5382" width="13.5703125" style="16" bestFit="1" customWidth="1"/>
    <col min="5383" max="5383" width="2.7109375" style="16" customWidth="1"/>
    <col min="5384" max="5384" width="13.5703125" style="16" bestFit="1" customWidth="1"/>
    <col min="5385" max="5385" width="3.42578125" style="16" customWidth="1"/>
    <col min="5386" max="5386" width="12.28515625" style="16" bestFit="1" customWidth="1"/>
    <col min="5387" max="5387" width="12.5703125" style="16" bestFit="1" customWidth="1"/>
    <col min="5388" max="5388" width="12.5703125" style="16" customWidth="1"/>
    <col min="5389" max="5389" width="12.7109375" style="16" bestFit="1" customWidth="1"/>
    <col min="5390" max="5394" width="0" style="16" hidden="1" customWidth="1"/>
    <col min="5395" max="5396" width="10.85546875" style="16" customWidth="1"/>
    <col min="5397" max="5397" width="13.28515625" style="16" bestFit="1" customWidth="1"/>
    <col min="5398" max="5398" width="10.85546875" style="16" customWidth="1"/>
    <col min="5399" max="5399" width="11.42578125" style="16" bestFit="1" customWidth="1"/>
    <col min="5400" max="5631" width="9.140625" style="16"/>
    <col min="5632" max="5632" width="0" style="16" hidden="1" customWidth="1"/>
    <col min="5633" max="5634" width="9.140625" style="16"/>
    <col min="5635" max="5635" width="21.42578125" style="16" customWidth="1"/>
    <col min="5636" max="5636" width="12.85546875" style="16" bestFit="1" customWidth="1"/>
    <col min="5637" max="5637" width="2.28515625" style="16" customWidth="1"/>
    <col min="5638" max="5638" width="13.5703125" style="16" bestFit="1" customWidth="1"/>
    <col min="5639" max="5639" width="2.7109375" style="16" customWidth="1"/>
    <col min="5640" max="5640" width="13.5703125" style="16" bestFit="1" customWidth="1"/>
    <col min="5641" max="5641" width="3.42578125" style="16" customWidth="1"/>
    <col min="5642" max="5642" width="12.28515625" style="16" bestFit="1" customWidth="1"/>
    <col min="5643" max="5643" width="12.5703125" style="16" bestFit="1" customWidth="1"/>
    <col min="5644" max="5644" width="12.5703125" style="16" customWidth="1"/>
    <col min="5645" max="5645" width="12.7109375" style="16" bestFit="1" customWidth="1"/>
    <col min="5646" max="5650" width="0" style="16" hidden="1" customWidth="1"/>
    <col min="5651" max="5652" width="10.85546875" style="16" customWidth="1"/>
    <col min="5653" max="5653" width="13.28515625" style="16" bestFit="1" customWidth="1"/>
    <col min="5654" max="5654" width="10.85546875" style="16" customWidth="1"/>
    <col min="5655" max="5655" width="11.42578125" style="16" bestFit="1" customWidth="1"/>
    <col min="5656" max="5887" width="9.140625" style="16"/>
    <col min="5888" max="5888" width="0" style="16" hidden="1" customWidth="1"/>
    <col min="5889" max="5890" width="9.140625" style="16"/>
    <col min="5891" max="5891" width="21.42578125" style="16" customWidth="1"/>
    <col min="5892" max="5892" width="12.85546875" style="16" bestFit="1" customWidth="1"/>
    <col min="5893" max="5893" width="2.28515625" style="16" customWidth="1"/>
    <col min="5894" max="5894" width="13.5703125" style="16" bestFit="1" customWidth="1"/>
    <col min="5895" max="5895" width="2.7109375" style="16" customWidth="1"/>
    <col min="5896" max="5896" width="13.5703125" style="16" bestFit="1" customWidth="1"/>
    <col min="5897" max="5897" width="3.42578125" style="16" customWidth="1"/>
    <col min="5898" max="5898" width="12.28515625" style="16" bestFit="1" customWidth="1"/>
    <col min="5899" max="5899" width="12.5703125" style="16" bestFit="1" customWidth="1"/>
    <col min="5900" max="5900" width="12.5703125" style="16" customWidth="1"/>
    <col min="5901" max="5901" width="12.7109375" style="16" bestFit="1" customWidth="1"/>
    <col min="5902" max="5906" width="0" style="16" hidden="1" customWidth="1"/>
    <col min="5907" max="5908" width="10.85546875" style="16" customWidth="1"/>
    <col min="5909" max="5909" width="13.28515625" style="16" bestFit="1" customWidth="1"/>
    <col min="5910" max="5910" width="10.85546875" style="16" customWidth="1"/>
    <col min="5911" max="5911" width="11.42578125" style="16" bestFit="1" customWidth="1"/>
    <col min="5912" max="6143" width="9.140625" style="16"/>
    <col min="6144" max="6144" width="0" style="16" hidden="1" customWidth="1"/>
    <col min="6145" max="6146" width="9.140625" style="16"/>
    <col min="6147" max="6147" width="21.42578125" style="16" customWidth="1"/>
    <col min="6148" max="6148" width="12.85546875" style="16" bestFit="1" customWidth="1"/>
    <col min="6149" max="6149" width="2.28515625" style="16" customWidth="1"/>
    <col min="6150" max="6150" width="13.5703125" style="16" bestFit="1" customWidth="1"/>
    <col min="6151" max="6151" width="2.7109375" style="16" customWidth="1"/>
    <col min="6152" max="6152" width="13.5703125" style="16" bestFit="1" customWidth="1"/>
    <col min="6153" max="6153" width="3.42578125" style="16" customWidth="1"/>
    <col min="6154" max="6154" width="12.28515625" style="16" bestFit="1" customWidth="1"/>
    <col min="6155" max="6155" width="12.5703125" style="16" bestFit="1" customWidth="1"/>
    <col min="6156" max="6156" width="12.5703125" style="16" customWidth="1"/>
    <col min="6157" max="6157" width="12.7109375" style="16" bestFit="1" customWidth="1"/>
    <col min="6158" max="6162" width="0" style="16" hidden="1" customWidth="1"/>
    <col min="6163" max="6164" width="10.85546875" style="16" customWidth="1"/>
    <col min="6165" max="6165" width="13.28515625" style="16" bestFit="1" customWidth="1"/>
    <col min="6166" max="6166" width="10.85546875" style="16" customWidth="1"/>
    <col min="6167" max="6167" width="11.42578125" style="16" bestFit="1" customWidth="1"/>
    <col min="6168" max="6399" width="9.140625" style="16"/>
    <col min="6400" max="6400" width="0" style="16" hidden="1" customWidth="1"/>
    <col min="6401" max="6402" width="9.140625" style="16"/>
    <col min="6403" max="6403" width="21.42578125" style="16" customWidth="1"/>
    <col min="6404" max="6404" width="12.85546875" style="16" bestFit="1" customWidth="1"/>
    <col min="6405" max="6405" width="2.28515625" style="16" customWidth="1"/>
    <col min="6406" max="6406" width="13.5703125" style="16" bestFit="1" customWidth="1"/>
    <col min="6407" max="6407" width="2.7109375" style="16" customWidth="1"/>
    <col min="6408" max="6408" width="13.5703125" style="16" bestFit="1" customWidth="1"/>
    <col min="6409" max="6409" width="3.42578125" style="16" customWidth="1"/>
    <col min="6410" max="6410" width="12.28515625" style="16" bestFit="1" customWidth="1"/>
    <col min="6411" max="6411" width="12.5703125" style="16" bestFit="1" customWidth="1"/>
    <col min="6412" max="6412" width="12.5703125" style="16" customWidth="1"/>
    <col min="6413" max="6413" width="12.7109375" style="16" bestFit="1" customWidth="1"/>
    <col min="6414" max="6418" width="0" style="16" hidden="1" customWidth="1"/>
    <col min="6419" max="6420" width="10.85546875" style="16" customWidth="1"/>
    <col min="6421" max="6421" width="13.28515625" style="16" bestFit="1" customWidth="1"/>
    <col min="6422" max="6422" width="10.85546875" style="16" customWidth="1"/>
    <col min="6423" max="6423" width="11.42578125" style="16" bestFit="1" customWidth="1"/>
    <col min="6424" max="6655" width="9.140625" style="16"/>
    <col min="6656" max="6656" width="0" style="16" hidden="1" customWidth="1"/>
    <col min="6657" max="6658" width="9.140625" style="16"/>
    <col min="6659" max="6659" width="21.42578125" style="16" customWidth="1"/>
    <col min="6660" max="6660" width="12.85546875" style="16" bestFit="1" customWidth="1"/>
    <col min="6661" max="6661" width="2.28515625" style="16" customWidth="1"/>
    <col min="6662" max="6662" width="13.5703125" style="16" bestFit="1" customWidth="1"/>
    <col min="6663" max="6663" width="2.7109375" style="16" customWidth="1"/>
    <col min="6664" max="6664" width="13.5703125" style="16" bestFit="1" customWidth="1"/>
    <col min="6665" max="6665" width="3.42578125" style="16" customWidth="1"/>
    <col min="6666" max="6666" width="12.28515625" style="16" bestFit="1" customWidth="1"/>
    <col min="6667" max="6667" width="12.5703125" style="16" bestFit="1" customWidth="1"/>
    <col min="6668" max="6668" width="12.5703125" style="16" customWidth="1"/>
    <col min="6669" max="6669" width="12.7109375" style="16" bestFit="1" customWidth="1"/>
    <col min="6670" max="6674" width="0" style="16" hidden="1" customWidth="1"/>
    <col min="6675" max="6676" width="10.85546875" style="16" customWidth="1"/>
    <col min="6677" max="6677" width="13.28515625" style="16" bestFit="1" customWidth="1"/>
    <col min="6678" max="6678" width="10.85546875" style="16" customWidth="1"/>
    <col min="6679" max="6679" width="11.42578125" style="16" bestFit="1" customWidth="1"/>
    <col min="6680" max="6911" width="9.140625" style="16"/>
    <col min="6912" max="6912" width="0" style="16" hidden="1" customWidth="1"/>
    <col min="6913" max="6914" width="9.140625" style="16"/>
    <col min="6915" max="6915" width="21.42578125" style="16" customWidth="1"/>
    <col min="6916" max="6916" width="12.85546875" style="16" bestFit="1" customWidth="1"/>
    <col min="6917" max="6917" width="2.28515625" style="16" customWidth="1"/>
    <col min="6918" max="6918" width="13.5703125" style="16" bestFit="1" customWidth="1"/>
    <col min="6919" max="6919" width="2.7109375" style="16" customWidth="1"/>
    <col min="6920" max="6920" width="13.5703125" style="16" bestFit="1" customWidth="1"/>
    <col min="6921" max="6921" width="3.42578125" style="16" customWidth="1"/>
    <col min="6922" max="6922" width="12.28515625" style="16" bestFit="1" customWidth="1"/>
    <col min="6923" max="6923" width="12.5703125" style="16" bestFit="1" customWidth="1"/>
    <col min="6924" max="6924" width="12.5703125" style="16" customWidth="1"/>
    <col min="6925" max="6925" width="12.7109375" style="16" bestFit="1" customWidth="1"/>
    <col min="6926" max="6930" width="0" style="16" hidden="1" customWidth="1"/>
    <col min="6931" max="6932" width="10.85546875" style="16" customWidth="1"/>
    <col min="6933" max="6933" width="13.28515625" style="16" bestFit="1" customWidth="1"/>
    <col min="6934" max="6934" width="10.85546875" style="16" customWidth="1"/>
    <col min="6935" max="6935" width="11.42578125" style="16" bestFit="1" customWidth="1"/>
    <col min="6936" max="7167" width="9.140625" style="16"/>
    <col min="7168" max="7168" width="0" style="16" hidden="1" customWidth="1"/>
    <col min="7169" max="7170" width="9.140625" style="16"/>
    <col min="7171" max="7171" width="21.42578125" style="16" customWidth="1"/>
    <col min="7172" max="7172" width="12.85546875" style="16" bestFit="1" customWidth="1"/>
    <col min="7173" max="7173" width="2.28515625" style="16" customWidth="1"/>
    <col min="7174" max="7174" width="13.5703125" style="16" bestFit="1" customWidth="1"/>
    <col min="7175" max="7175" width="2.7109375" style="16" customWidth="1"/>
    <col min="7176" max="7176" width="13.5703125" style="16" bestFit="1" customWidth="1"/>
    <col min="7177" max="7177" width="3.42578125" style="16" customWidth="1"/>
    <col min="7178" max="7178" width="12.28515625" style="16" bestFit="1" customWidth="1"/>
    <col min="7179" max="7179" width="12.5703125" style="16" bestFit="1" customWidth="1"/>
    <col min="7180" max="7180" width="12.5703125" style="16" customWidth="1"/>
    <col min="7181" max="7181" width="12.7109375" style="16" bestFit="1" customWidth="1"/>
    <col min="7182" max="7186" width="0" style="16" hidden="1" customWidth="1"/>
    <col min="7187" max="7188" width="10.85546875" style="16" customWidth="1"/>
    <col min="7189" max="7189" width="13.28515625" style="16" bestFit="1" customWidth="1"/>
    <col min="7190" max="7190" width="10.85546875" style="16" customWidth="1"/>
    <col min="7191" max="7191" width="11.42578125" style="16" bestFit="1" customWidth="1"/>
    <col min="7192" max="7423" width="9.140625" style="16"/>
    <col min="7424" max="7424" width="0" style="16" hidden="1" customWidth="1"/>
    <col min="7425" max="7426" width="9.140625" style="16"/>
    <col min="7427" max="7427" width="21.42578125" style="16" customWidth="1"/>
    <col min="7428" max="7428" width="12.85546875" style="16" bestFit="1" customWidth="1"/>
    <col min="7429" max="7429" width="2.28515625" style="16" customWidth="1"/>
    <col min="7430" max="7430" width="13.5703125" style="16" bestFit="1" customWidth="1"/>
    <col min="7431" max="7431" width="2.7109375" style="16" customWidth="1"/>
    <col min="7432" max="7432" width="13.5703125" style="16" bestFit="1" customWidth="1"/>
    <col min="7433" max="7433" width="3.42578125" style="16" customWidth="1"/>
    <col min="7434" max="7434" width="12.28515625" style="16" bestFit="1" customWidth="1"/>
    <col min="7435" max="7435" width="12.5703125" style="16" bestFit="1" customWidth="1"/>
    <col min="7436" max="7436" width="12.5703125" style="16" customWidth="1"/>
    <col min="7437" max="7437" width="12.7109375" style="16" bestFit="1" customWidth="1"/>
    <col min="7438" max="7442" width="0" style="16" hidden="1" customWidth="1"/>
    <col min="7443" max="7444" width="10.85546875" style="16" customWidth="1"/>
    <col min="7445" max="7445" width="13.28515625" style="16" bestFit="1" customWidth="1"/>
    <col min="7446" max="7446" width="10.85546875" style="16" customWidth="1"/>
    <col min="7447" max="7447" width="11.42578125" style="16" bestFit="1" customWidth="1"/>
    <col min="7448" max="7679" width="9.140625" style="16"/>
    <col min="7680" max="7680" width="0" style="16" hidden="1" customWidth="1"/>
    <col min="7681" max="7682" width="9.140625" style="16"/>
    <col min="7683" max="7683" width="21.42578125" style="16" customWidth="1"/>
    <col min="7684" max="7684" width="12.85546875" style="16" bestFit="1" customWidth="1"/>
    <col min="7685" max="7685" width="2.28515625" style="16" customWidth="1"/>
    <col min="7686" max="7686" width="13.5703125" style="16" bestFit="1" customWidth="1"/>
    <col min="7687" max="7687" width="2.7109375" style="16" customWidth="1"/>
    <col min="7688" max="7688" width="13.5703125" style="16" bestFit="1" customWidth="1"/>
    <col min="7689" max="7689" width="3.42578125" style="16" customWidth="1"/>
    <col min="7690" max="7690" width="12.28515625" style="16" bestFit="1" customWidth="1"/>
    <col min="7691" max="7691" width="12.5703125" style="16" bestFit="1" customWidth="1"/>
    <col min="7692" max="7692" width="12.5703125" style="16" customWidth="1"/>
    <col min="7693" max="7693" width="12.7109375" style="16" bestFit="1" customWidth="1"/>
    <col min="7694" max="7698" width="0" style="16" hidden="1" customWidth="1"/>
    <col min="7699" max="7700" width="10.85546875" style="16" customWidth="1"/>
    <col min="7701" max="7701" width="13.28515625" style="16" bestFit="1" customWidth="1"/>
    <col min="7702" max="7702" width="10.85546875" style="16" customWidth="1"/>
    <col min="7703" max="7703" width="11.42578125" style="16" bestFit="1" customWidth="1"/>
    <col min="7704" max="7935" width="9.140625" style="16"/>
    <col min="7936" max="7936" width="0" style="16" hidden="1" customWidth="1"/>
    <col min="7937" max="7938" width="9.140625" style="16"/>
    <col min="7939" max="7939" width="21.42578125" style="16" customWidth="1"/>
    <col min="7940" max="7940" width="12.85546875" style="16" bestFit="1" customWidth="1"/>
    <col min="7941" max="7941" width="2.28515625" style="16" customWidth="1"/>
    <col min="7942" max="7942" width="13.5703125" style="16" bestFit="1" customWidth="1"/>
    <col min="7943" max="7943" width="2.7109375" style="16" customWidth="1"/>
    <col min="7944" max="7944" width="13.5703125" style="16" bestFit="1" customWidth="1"/>
    <col min="7945" max="7945" width="3.42578125" style="16" customWidth="1"/>
    <col min="7946" max="7946" width="12.28515625" style="16" bestFit="1" customWidth="1"/>
    <col min="7947" max="7947" width="12.5703125" style="16" bestFit="1" customWidth="1"/>
    <col min="7948" max="7948" width="12.5703125" style="16" customWidth="1"/>
    <col min="7949" max="7949" width="12.7109375" style="16" bestFit="1" customWidth="1"/>
    <col min="7950" max="7954" width="0" style="16" hidden="1" customWidth="1"/>
    <col min="7955" max="7956" width="10.85546875" style="16" customWidth="1"/>
    <col min="7957" max="7957" width="13.28515625" style="16" bestFit="1" customWidth="1"/>
    <col min="7958" max="7958" width="10.85546875" style="16" customWidth="1"/>
    <col min="7959" max="7959" width="11.42578125" style="16" bestFit="1" customWidth="1"/>
    <col min="7960" max="8191" width="9.140625" style="16"/>
    <col min="8192" max="8192" width="0" style="16" hidden="1" customWidth="1"/>
    <col min="8193" max="8194" width="9.140625" style="16"/>
    <col min="8195" max="8195" width="21.42578125" style="16" customWidth="1"/>
    <col min="8196" max="8196" width="12.85546875" style="16" bestFit="1" customWidth="1"/>
    <col min="8197" max="8197" width="2.28515625" style="16" customWidth="1"/>
    <col min="8198" max="8198" width="13.5703125" style="16" bestFit="1" customWidth="1"/>
    <col min="8199" max="8199" width="2.7109375" style="16" customWidth="1"/>
    <col min="8200" max="8200" width="13.5703125" style="16" bestFit="1" customWidth="1"/>
    <col min="8201" max="8201" width="3.42578125" style="16" customWidth="1"/>
    <col min="8202" max="8202" width="12.28515625" style="16" bestFit="1" customWidth="1"/>
    <col min="8203" max="8203" width="12.5703125" style="16" bestFit="1" customWidth="1"/>
    <col min="8204" max="8204" width="12.5703125" style="16" customWidth="1"/>
    <col min="8205" max="8205" width="12.7109375" style="16" bestFit="1" customWidth="1"/>
    <col min="8206" max="8210" width="0" style="16" hidden="1" customWidth="1"/>
    <col min="8211" max="8212" width="10.85546875" style="16" customWidth="1"/>
    <col min="8213" max="8213" width="13.28515625" style="16" bestFit="1" customWidth="1"/>
    <col min="8214" max="8214" width="10.85546875" style="16" customWidth="1"/>
    <col min="8215" max="8215" width="11.42578125" style="16" bestFit="1" customWidth="1"/>
    <col min="8216" max="8447" width="9.140625" style="16"/>
    <col min="8448" max="8448" width="0" style="16" hidden="1" customWidth="1"/>
    <col min="8449" max="8450" width="9.140625" style="16"/>
    <col min="8451" max="8451" width="21.42578125" style="16" customWidth="1"/>
    <col min="8452" max="8452" width="12.85546875" style="16" bestFit="1" customWidth="1"/>
    <col min="8453" max="8453" width="2.28515625" style="16" customWidth="1"/>
    <col min="8454" max="8454" width="13.5703125" style="16" bestFit="1" customWidth="1"/>
    <col min="8455" max="8455" width="2.7109375" style="16" customWidth="1"/>
    <col min="8456" max="8456" width="13.5703125" style="16" bestFit="1" customWidth="1"/>
    <col min="8457" max="8457" width="3.42578125" style="16" customWidth="1"/>
    <col min="8458" max="8458" width="12.28515625" style="16" bestFit="1" customWidth="1"/>
    <col min="8459" max="8459" width="12.5703125" style="16" bestFit="1" customWidth="1"/>
    <col min="8460" max="8460" width="12.5703125" style="16" customWidth="1"/>
    <col min="8461" max="8461" width="12.7109375" style="16" bestFit="1" customWidth="1"/>
    <col min="8462" max="8466" width="0" style="16" hidden="1" customWidth="1"/>
    <col min="8467" max="8468" width="10.85546875" style="16" customWidth="1"/>
    <col min="8469" max="8469" width="13.28515625" style="16" bestFit="1" customWidth="1"/>
    <col min="8470" max="8470" width="10.85546875" style="16" customWidth="1"/>
    <col min="8471" max="8471" width="11.42578125" style="16" bestFit="1" customWidth="1"/>
    <col min="8472" max="8703" width="9.140625" style="16"/>
    <col min="8704" max="8704" width="0" style="16" hidden="1" customWidth="1"/>
    <col min="8705" max="8706" width="9.140625" style="16"/>
    <col min="8707" max="8707" width="21.42578125" style="16" customWidth="1"/>
    <col min="8708" max="8708" width="12.85546875" style="16" bestFit="1" customWidth="1"/>
    <col min="8709" max="8709" width="2.28515625" style="16" customWidth="1"/>
    <col min="8710" max="8710" width="13.5703125" style="16" bestFit="1" customWidth="1"/>
    <col min="8711" max="8711" width="2.7109375" style="16" customWidth="1"/>
    <col min="8712" max="8712" width="13.5703125" style="16" bestFit="1" customWidth="1"/>
    <col min="8713" max="8713" width="3.42578125" style="16" customWidth="1"/>
    <col min="8714" max="8714" width="12.28515625" style="16" bestFit="1" customWidth="1"/>
    <col min="8715" max="8715" width="12.5703125" style="16" bestFit="1" customWidth="1"/>
    <col min="8716" max="8716" width="12.5703125" style="16" customWidth="1"/>
    <col min="8717" max="8717" width="12.7109375" style="16" bestFit="1" customWidth="1"/>
    <col min="8718" max="8722" width="0" style="16" hidden="1" customWidth="1"/>
    <col min="8723" max="8724" width="10.85546875" style="16" customWidth="1"/>
    <col min="8725" max="8725" width="13.28515625" style="16" bestFit="1" customWidth="1"/>
    <col min="8726" max="8726" width="10.85546875" style="16" customWidth="1"/>
    <col min="8727" max="8727" width="11.42578125" style="16" bestFit="1" customWidth="1"/>
    <col min="8728" max="8959" width="9.140625" style="16"/>
    <col min="8960" max="8960" width="0" style="16" hidden="1" customWidth="1"/>
    <col min="8961" max="8962" width="9.140625" style="16"/>
    <col min="8963" max="8963" width="21.42578125" style="16" customWidth="1"/>
    <col min="8964" max="8964" width="12.85546875" style="16" bestFit="1" customWidth="1"/>
    <col min="8965" max="8965" width="2.28515625" style="16" customWidth="1"/>
    <col min="8966" max="8966" width="13.5703125" style="16" bestFit="1" customWidth="1"/>
    <col min="8967" max="8967" width="2.7109375" style="16" customWidth="1"/>
    <col min="8968" max="8968" width="13.5703125" style="16" bestFit="1" customWidth="1"/>
    <col min="8969" max="8969" width="3.42578125" style="16" customWidth="1"/>
    <col min="8970" max="8970" width="12.28515625" style="16" bestFit="1" customWidth="1"/>
    <col min="8971" max="8971" width="12.5703125" style="16" bestFit="1" customWidth="1"/>
    <col min="8972" max="8972" width="12.5703125" style="16" customWidth="1"/>
    <col min="8973" max="8973" width="12.7109375" style="16" bestFit="1" customWidth="1"/>
    <col min="8974" max="8978" width="0" style="16" hidden="1" customWidth="1"/>
    <col min="8979" max="8980" width="10.85546875" style="16" customWidth="1"/>
    <col min="8981" max="8981" width="13.28515625" style="16" bestFit="1" customWidth="1"/>
    <col min="8982" max="8982" width="10.85546875" style="16" customWidth="1"/>
    <col min="8983" max="8983" width="11.42578125" style="16" bestFit="1" customWidth="1"/>
    <col min="8984" max="9215" width="9.140625" style="16"/>
    <col min="9216" max="9216" width="0" style="16" hidden="1" customWidth="1"/>
    <col min="9217" max="9218" width="9.140625" style="16"/>
    <col min="9219" max="9219" width="21.42578125" style="16" customWidth="1"/>
    <col min="9220" max="9220" width="12.85546875" style="16" bestFit="1" customWidth="1"/>
    <col min="9221" max="9221" width="2.28515625" style="16" customWidth="1"/>
    <col min="9222" max="9222" width="13.5703125" style="16" bestFit="1" customWidth="1"/>
    <col min="9223" max="9223" width="2.7109375" style="16" customWidth="1"/>
    <col min="9224" max="9224" width="13.5703125" style="16" bestFit="1" customWidth="1"/>
    <col min="9225" max="9225" width="3.42578125" style="16" customWidth="1"/>
    <col min="9226" max="9226" width="12.28515625" style="16" bestFit="1" customWidth="1"/>
    <col min="9227" max="9227" width="12.5703125" style="16" bestFit="1" customWidth="1"/>
    <col min="9228" max="9228" width="12.5703125" style="16" customWidth="1"/>
    <col min="9229" max="9229" width="12.7109375" style="16" bestFit="1" customWidth="1"/>
    <col min="9230" max="9234" width="0" style="16" hidden="1" customWidth="1"/>
    <col min="9235" max="9236" width="10.85546875" style="16" customWidth="1"/>
    <col min="9237" max="9237" width="13.28515625" style="16" bestFit="1" customWidth="1"/>
    <col min="9238" max="9238" width="10.85546875" style="16" customWidth="1"/>
    <col min="9239" max="9239" width="11.42578125" style="16" bestFit="1" customWidth="1"/>
    <col min="9240" max="9471" width="9.140625" style="16"/>
    <col min="9472" max="9472" width="0" style="16" hidden="1" customWidth="1"/>
    <col min="9473" max="9474" width="9.140625" style="16"/>
    <col min="9475" max="9475" width="21.42578125" style="16" customWidth="1"/>
    <col min="9476" max="9476" width="12.85546875" style="16" bestFit="1" customWidth="1"/>
    <col min="9477" max="9477" width="2.28515625" style="16" customWidth="1"/>
    <col min="9478" max="9478" width="13.5703125" style="16" bestFit="1" customWidth="1"/>
    <col min="9479" max="9479" width="2.7109375" style="16" customWidth="1"/>
    <col min="9480" max="9480" width="13.5703125" style="16" bestFit="1" customWidth="1"/>
    <col min="9481" max="9481" width="3.42578125" style="16" customWidth="1"/>
    <col min="9482" max="9482" width="12.28515625" style="16" bestFit="1" customWidth="1"/>
    <col min="9483" max="9483" width="12.5703125" style="16" bestFit="1" customWidth="1"/>
    <col min="9484" max="9484" width="12.5703125" style="16" customWidth="1"/>
    <col min="9485" max="9485" width="12.7109375" style="16" bestFit="1" customWidth="1"/>
    <col min="9486" max="9490" width="0" style="16" hidden="1" customWidth="1"/>
    <col min="9491" max="9492" width="10.85546875" style="16" customWidth="1"/>
    <col min="9493" max="9493" width="13.28515625" style="16" bestFit="1" customWidth="1"/>
    <col min="9494" max="9494" width="10.85546875" style="16" customWidth="1"/>
    <col min="9495" max="9495" width="11.42578125" style="16" bestFit="1" customWidth="1"/>
    <col min="9496" max="9727" width="9.140625" style="16"/>
    <col min="9728" max="9728" width="0" style="16" hidden="1" customWidth="1"/>
    <col min="9729" max="9730" width="9.140625" style="16"/>
    <col min="9731" max="9731" width="21.42578125" style="16" customWidth="1"/>
    <col min="9732" max="9732" width="12.85546875" style="16" bestFit="1" customWidth="1"/>
    <col min="9733" max="9733" width="2.28515625" style="16" customWidth="1"/>
    <col min="9734" max="9734" width="13.5703125" style="16" bestFit="1" customWidth="1"/>
    <col min="9735" max="9735" width="2.7109375" style="16" customWidth="1"/>
    <col min="9736" max="9736" width="13.5703125" style="16" bestFit="1" customWidth="1"/>
    <col min="9737" max="9737" width="3.42578125" style="16" customWidth="1"/>
    <col min="9738" max="9738" width="12.28515625" style="16" bestFit="1" customWidth="1"/>
    <col min="9739" max="9739" width="12.5703125" style="16" bestFit="1" customWidth="1"/>
    <col min="9740" max="9740" width="12.5703125" style="16" customWidth="1"/>
    <col min="9741" max="9741" width="12.7109375" style="16" bestFit="1" customWidth="1"/>
    <col min="9742" max="9746" width="0" style="16" hidden="1" customWidth="1"/>
    <col min="9747" max="9748" width="10.85546875" style="16" customWidth="1"/>
    <col min="9749" max="9749" width="13.28515625" style="16" bestFit="1" customWidth="1"/>
    <col min="9750" max="9750" width="10.85546875" style="16" customWidth="1"/>
    <col min="9751" max="9751" width="11.42578125" style="16" bestFit="1" customWidth="1"/>
    <col min="9752" max="9983" width="9.140625" style="16"/>
    <col min="9984" max="9984" width="0" style="16" hidden="1" customWidth="1"/>
    <col min="9985" max="9986" width="9.140625" style="16"/>
    <col min="9987" max="9987" width="21.42578125" style="16" customWidth="1"/>
    <col min="9988" max="9988" width="12.85546875" style="16" bestFit="1" customWidth="1"/>
    <col min="9989" max="9989" width="2.28515625" style="16" customWidth="1"/>
    <col min="9990" max="9990" width="13.5703125" style="16" bestFit="1" customWidth="1"/>
    <col min="9991" max="9991" width="2.7109375" style="16" customWidth="1"/>
    <col min="9992" max="9992" width="13.5703125" style="16" bestFit="1" customWidth="1"/>
    <col min="9993" max="9993" width="3.42578125" style="16" customWidth="1"/>
    <col min="9994" max="9994" width="12.28515625" style="16" bestFit="1" customWidth="1"/>
    <col min="9995" max="9995" width="12.5703125" style="16" bestFit="1" customWidth="1"/>
    <col min="9996" max="9996" width="12.5703125" style="16" customWidth="1"/>
    <col min="9997" max="9997" width="12.7109375" style="16" bestFit="1" customWidth="1"/>
    <col min="9998" max="10002" width="0" style="16" hidden="1" customWidth="1"/>
    <col min="10003" max="10004" width="10.85546875" style="16" customWidth="1"/>
    <col min="10005" max="10005" width="13.28515625" style="16" bestFit="1" customWidth="1"/>
    <col min="10006" max="10006" width="10.85546875" style="16" customWidth="1"/>
    <col min="10007" max="10007" width="11.42578125" style="16" bestFit="1" customWidth="1"/>
    <col min="10008" max="10239" width="9.140625" style="16"/>
    <col min="10240" max="10240" width="0" style="16" hidden="1" customWidth="1"/>
    <col min="10241" max="10242" width="9.140625" style="16"/>
    <col min="10243" max="10243" width="21.42578125" style="16" customWidth="1"/>
    <col min="10244" max="10244" width="12.85546875" style="16" bestFit="1" customWidth="1"/>
    <col min="10245" max="10245" width="2.28515625" style="16" customWidth="1"/>
    <col min="10246" max="10246" width="13.5703125" style="16" bestFit="1" customWidth="1"/>
    <col min="10247" max="10247" width="2.7109375" style="16" customWidth="1"/>
    <col min="10248" max="10248" width="13.5703125" style="16" bestFit="1" customWidth="1"/>
    <col min="10249" max="10249" width="3.42578125" style="16" customWidth="1"/>
    <col min="10250" max="10250" width="12.28515625" style="16" bestFit="1" customWidth="1"/>
    <col min="10251" max="10251" width="12.5703125" style="16" bestFit="1" customWidth="1"/>
    <col min="10252" max="10252" width="12.5703125" style="16" customWidth="1"/>
    <col min="10253" max="10253" width="12.7109375" style="16" bestFit="1" customWidth="1"/>
    <col min="10254" max="10258" width="0" style="16" hidden="1" customWidth="1"/>
    <col min="10259" max="10260" width="10.85546875" style="16" customWidth="1"/>
    <col min="10261" max="10261" width="13.28515625" style="16" bestFit="1" customWidth="1"/>
    <col min="10262" max="10262" width="10.85546875" style="16" customWidth="1"/>
    <col min="10263" max="10263" width="11.42578125" style="16" bestFit="1" customWidth="1"/>
    <col min="10264" max="10495" width="9.140625" style="16"/>
    <col min="10496" max="10496" width="0" style="16" hidden="1" customWidth="1"/>
    <col min="10497" max="10498" width="9.140625" style="16"/>
    <col min="10499" max="10499" width="21.42578125" style="16" customWidth="1"/>
    <col min="10500" max="10500" width="12.85546875" style="16" bestFit="1" customWidth="1"/>
    <col min="10501" max="10501" width="2.28515625" style="16" customWidth="1"/>
    <col min="10502" max="10502" width="13.5703125" style="16" bestFit="1" customWidth="1"/>
    <col min="10503" max="10503" width="2.7109375" style="16" customWidth="1"/>
    <col min="10504" max="10504" width="13.5703125" style="16" bestFit="1" customWidth="1"/>
    <col min="10505" max="10505" width="3.42578125" style="16" customWidth="1"/>
    <col min="10506" max="10506" width="12.28515625" style="16" bestFit="1" customWidth="1"/>
    <col min="10507" max="10507" width="12.5703125" style="16" bestFit="1" customWidth="1"/>
    <col min="10508" max="10508" width="12.5703125" style="16" customWidth="1"/>
    <col min="10509" max="10509" width="12.7109375" style="16" bestFit="1" customWidth="1"/>
    <col min="10510" max="10514" width="0" style="16" hidden="1" customWidth="1"/>
    <col min="10515" max="10516" width="10.85546875" style="16" customWidth="1"/>
    <col min="10517" max="10517" width="13.28515625" style="16" bestFit="1" customWidth="1"/>
    <col min="10518" max="10518" width="10.85546875" style="16" customWidth="1"/>
    <col min="10519" max="10519" width="11.42578125" style="16" bestFit="1" customWidth="1"/>
    <col min="10520" max="10751" width="9.140625" style="16"/>
    <col min="10752" max="10752" width="0" style="16" hidden="1" customWidth="1"/>
    <col min="10753" max="10754" width="9.140625" style="16"/>
    <col min="10755" max="10755" width="21.42578125" style="16" customWidth="1"/>
    <col min="10756" max="10756" width="12.85546875" style="16" bestFit="1" customWidth="1"/>
    <col min="10757" max="10757" width="2.28515625" style="16" customWidth="1"/>
    <col min="10758" max="10758" width="13.5703125" style="16" bestFit="1" customWidth="1"/>
    <col min="10759" max="10759" width="2.7109375" style="16" customWidth="1"/>
    <col min="10760" max="10760" width="13.5703125" style="16" bestFit="1" customWidth="1"/>
    <col min="10761" max="10761" width="3.42578125" style="16" customWidth="1"/>
    <col min="10762" max="10762" width="12.28515625" style="16" bestFit="1" customWidth="1"/>
    <col min="10763" max="10763" width="12.5703125" style="16" bestFit="1" customWidth="1"/>
    <col min="10764" max="10764" width="12.5703125" style="16" customWidth="1"/>
    <col min="10765" max="10765" width="12.7109375" style="16" bestFit="1" customWidth="1"/>
    <col min="10766" max="10770" width="0" style="16" hidden="1" customWidth="1"/>
    <col min="10771" max="10772" width="10.85546875" style="16" customWidth="1"/>
    <col min="10773" max="10773" width="13.28515625" style="16" bestFit="1" customWidth="1"/>
    <col min="10774" max="10774" width="10.85546875" style="16" customWidth="1"/>
    <col min="10775" max="10775" width="11.42578125" style="16" bestFit="1" customWidth="1"/>
    <col min="10776" max="11007" width="9.140625" style="16"/>
    <col min="11008" max="11008" width="0" style="16" hidden="1" customWidth="1"/>
    <col min="11009" max="11010" width="9.140625" style="16"/>
    <col min="11011" max="11011" width="21.42578125" style="16" customWidth="1"/>
    <col min="11012" max="11012" width="12.85546875" style="16" bestFit="1" customWidth="1"/>
    <col min="11013" max="11013" width="2.28515625" style="16" customWidth="1"/>
    <col min="11014" max="11014" width="13.5703125" style="16" bestFit="1" customWidth="1"/>
    <col min="11015" max="11015" width="2.7109375" style="16" customWidth="1"/>
    <col min="11016" max="11016" width="13.5703125" style="16" bestFit="1" customWidth="1"/>
    <col min="11017" max="11017" width="3.42578125" style="16" customWidth="1"/>
    <col min="11018" max="11018" width="12.28515625" style="16" bestFit="1" customWidth="1"/>
    <col min="11019" max="11019" width="12.5703125" style="16" bestFit="1" customWidth="1"/>
    <col min="11020" max="11020" width="12.5703125" style="16" customWidth="1"/>
    <col min="11021" max="11021" width="12.7109375" style="16" bestFit="1" customWidth="1"/>
    <col min="11022" max="11026" width="0" style="16" hidden="1" customWidth="1"/>
    <col min="11027" max="11028" width="10.85546875" style="16" customWidth="1"/>
    <col min="11029" max="11029" width="13.28515625" style="16" bestFit="1" customWidth="1"/>
    <col min="11030" max="11030" width="10.85546875" style="16" customWidth="1"/>
    <col min="11031" max="11031" width="11.42578125" style="16" bestFit="1" customWidth="1"/>
    <col min="11032" max="11263" width="9.140625" style="16"/>
    <col min="11264" max="11264" width="0" style="16" hidden="1" customWidth="1"/>
    <col min="11265" max="11266" width="9.140625" style="16"/>
    <col min="11267" max="11267" width="21.42578125" style="16" customWidth="1"/>
    <col min="11268" max="11268" width="12.85546875" style="16" bestFit="1" customWidth="1"/>
    <col min="11269" max="11269" width="2.28515625" style="16" customWidth="1"/>
    <col min="11270" max="11270" width="13.5703125" style="16" bestFit="1" customWidth="1"/>
    <col min="11271" max="11271" width="2.7109375" style="16" customWidth="1"/>
    <col min="11272" max="11272" width="13.5703125" style="16" bestFit="1" customWidth="1"/>
    <col min="11273" max="11273" width="3.42578125" style="16" customWidth="1"/>
    <col min="11274" max="11274" width="12.28515625" style="16" bestFit="1" customWidth="1"/>
    <col min="11275" max="11275" width="12.5703125" style="16" bestFit="1" customWidth="1"/>
    <col min="11276" max="11276" width="12.5703125" style="16" customWidth="1"/>
    <col min="11277" max="11277" width="12.7109375" style="16" bestFit="1" customWidth="1"/>
    <col min="11278" max="11282" width="0" style="16" hidden="1" customWidth="1"/>
    <col min="11283" max="11284" width="10.85546875" style="16" customWidth="1"/>
    <col min="11285" max="11285" width="13.28515625" style="16" bestFit="1" customWidth="1"/>
    <col min="11286" max="11286" width="10.85546875" style="16" customWidth="1"/>
    <col min="11287" max="11287" width="11.42578125" style="16" bestFit="1" customWidth="1"/>
    <col min="11288" max="11519" width="9.140625" style="16"/>
    <col min="11520" max="11520" width="0" style="16" hidden="1" customWidth="1"/>
    <col min="11521" max="11522" width="9.140625" style="16"/>
    <col min="11523" max="11523" width="21.42578125" style="16" customWidth="1"/>
    <col min="11524" max="11524" width="12.85546875" style="16" bestFit="1" customWidth="1"/>
    <col min="11525" max="11525" width="2.28515625" style="16" customWidth="1"/>
    <col min="11526" max="11526" width="13.5703125" style="16" bestFit="1" customWidth="1"/>
    <col min="11527" max="11527" width="2.7109375" style="16" customWidth="1"/>
    <col min="11528" max="11528" width="13.5703125" style="16" bestFit="1" customWidth="1"/>
    <col min="11529" max="11529" width="3.42578125" style="16" customWidth="1"/>
    <col min="11530" max="11530" width="12.28515625" style="16" bestFit="1" customWidth="1"/>
    <col min="11531" max="11531" width="12.5703125" style="16" bestFit="1" customWidth="1"/>
    <col min="11532" max="11532" width="12.5703125" style="16" customWidth="1"/>
    <col min="11533" max="11533" width="12.7109375" style="16" bestFit="1" customWidth="1"/>
    <col min="11534" max="11538" width="0" style="16" hidden="1" customWidth="1"/>
    <col min="11539" max="11540" width="10.85546875" style="16" customWidth="1"/>
    <col min="11541" max="11541" width="13.28515625" style="16" bestFit="1" customWidth="1"/>
    <col min="11542" max="11542" width="10.85546875" style="16" customWidth="1"/>
    <col min="11543" max="11543" width="11.42578125" style="16" bestFit="1" customWidth="1"/>
    <col min="11544" max="11775" width="9.140625" style="16"/>
    <col min="11776" max="11776" width="0" style="16" hidden="1" customWidth="1"/>
    <col min="11777" max="11778" width="9.140625" style="16"/>
    <col min="11779" max="11779" width="21.42578125" style="16" customWidth="1"/>
    <col min="11780" max="11780" width="12.85546875" style="16" bestFit="1" customWidth="1"/>
    <col min="11781" max="11781" width="2.28515625" style="16" customWidth="1"/>
    <col min="11782" max="11782" width="13.5703125" style="16" bestFit="1" customWidth="1"/>
    <col min="11783" max="11783" width="2.7109375" style="16" customWidth="1"/>
    <col min="11784" max="11784" width="13.5703125" style="16" bestFit="1" customWidth="1"/>
    <col min="11785" max="11785" width="3.42578125" style="16" customWidth="1"/>
    <col min="11786" max="11786" width="12.28515625" style="16" bestFit="1" customWidth="1"/>
    <col min="11787" max="11787" width="12.5703125" style="16" bestFit="1" customWidth="1"/>
    <col min="11788" max="11788" width="12.5703125" style="16" customWidth="1"/>
    <col min="11789" max="11789" width="12.7109375" style="16" bestFit="1" customWidth="1"/>
    <col min="11790" max="11794" width="0" style="16" hidden="1" customWidth="1"/>
    <col min="11795" max="11796" width="10.85546875" style="16" customWidth="1"/>
    <col min="11797" max="11797" width="13.28515625" style="16" bestFit="1" customWidth="1"/>
    <col min="11798" max="11798" width="10.85546875" style="16" customWidth="1"/>
    <col min="11799" max="11799" width="11.42578125" style="16" bestFit="1" customWidth="1"/>
    <col min="11800" max="12031" width="9.140625" style="16"/>
    <col min="12032" max="12032" width="0" style="16" hidden="1" customWidth="1"/>
    <col min="12033" max="12034" width="9.140625" style="16"/>
    <col min="12035" max="12035" width="21.42578125" style="16" customWidth="1"/>
    <col min="12036" max="12036" width="12.85546875" style="16" bestFit="1" customWidth="1"/>
    <col min="12037" max="12037" width="2.28515625" style="16" customWidth="1"/>
    <col min="12038" max="12038" width="13.5703125" style="16" bestFit="1" customWidth="1"/>
    <col min="12039" max="12039" width="2.7109375" style="16" customWidth="1"/>
    <col min="12040" max="12040" width="13.5703125" style="16" bestFit="1" customWidth="1"/>
    <col min="12041" max="12041" width="3.42578125" style="16" customWidth="1"/>
    <col min="12042" max="12042" width="12.28515625" style="16" bestFit="1" customWidth="1"/>
    <col min="12043" max="12043" width="12.5703125" style="16" bestFit="1" customWidth="1"/>
    <col min="12044" max="12044" width="12.5703125" style="16" customWidth="1"/>
    <col min="12045" max="12045" width="12.7109375" style="16" bestFit="1" customWidth="1"/>
    <col min="12046" max="12050" width="0" style="16" hidden="1" customWidth="1"/>
    <col min="12051" max="12052" width="10.85546875" style="16" customWidth="1"/>
    <col min="12053" max="12053" width="13.28515625" style="16" bestFit="1" customWidth="1"/>
    <col min="12054" max="12054" width="10.85546875" style="16" customWidth="1"/>
    <col min="12055" max="12055" width="11.42578125" style="16" bestFit="1" customWidth="1"/>
    <col min="12056" max="12287" width="9.140625" style="16"/>
    <col min="12288" max="12288" width="0" style="16" hidden="1" customWidth="1"/>
    <col min="12289" max="12290" width="9.140625" style="16"/>
    <col min="12291" max="12291" width="21.42578125" style="16" customWidth="1"/>
    <col min="12292" max="12292" width="12.85546875" style="16" bestFit="1" customWidth="1"/>
    <col min="12293" max="12293" width="2.28515625" style="16" customWidth="1"/>
    <col min="12294" max="12294" width="13.5703125" style="16" bestFit="1" customWidth="1"/>
    <col min="12295" max="12295" width="2.7109375" style="16" customWidth="1"/>
    <col min="12296" max="12296" width="13.5703125" style="16" bestFit="1" customWidth="1"/>
    <col min="12297" max="12297" width="3.42578125" style="16" customWidth="1"/>
    <col min="12298" max="12298" width="12.28515625" style="16" bestFit="1" customWidth="1"/>
    <col min="12299" max="12299" width="12.5703125" style="16" bestFit="1" customWidth="1"/>
    <col min="12300" max="12300" width="12.5703125" style="16" customWidth="1"/>
    <col min="12301" max="12301" width="12.7109375" style="16" bestFit="1" customWidth="1"/>
    <col min="12302" max="12306" width="0" style="16" hidden="1" customWidth="1"/>
    <col min="12307" max="12308" width="10.85546875" style="16" customWidth="1"/>
    <col min="12309" max="12309" width="13.28515625" style="16" bestFit="1" customWidth="1"/>
    <col min="12310" max="12310" width="10.85546875" style="16" customWidth="1"/>
    <col min="12311" max="12311" width="11.42578125" style="16" bestFit="1" customWidth="1"/>
    <col min="12312" max="12543" width="9.140625" style="16"/>
    <col min="12544" max="12544" width="0" style="16" hidden="1" customWidth="1"/>
    <col min="12545" max="12546" width="9.140625" style="16"/>
    <col min="12547" max="12547" width="21.42578125" style="16" customWidth="1"/>
    <col min="12548" max="12548" width="12.85546875" style="16" bestFit="1" customWidth="1"/>
    <col min="12549" max="12549" width="2.28515625" style="16" customWidth="1"/>
    <col min="12550" max="12550" width="13.5703125" style="16" bestFit="1" customWidth="1"/>
    <col min="12551" max="12551" width="2.7109375" style="16" customWidth="1"/>
    <col min="12552" max="12552" width="13.5703125" style="16" bestFit="1" customWidth="1"/>
    <col min="12553" max="12553" width="3.42578125" style="16" customWidth="1"/>
    <col min="12554" max="12554" width="12.28515625" style="16" bestFit="1" customWidth="1"/>
    <col min="12555" max="12555" width="12.5703125" style="16" bestFit="1" customWidth="1"/>
    <col min="12556" max="12556" width="12.5703125" style="16" customWidth="1"/>
    <col min="12557" max="12557" width="12.7109375" style="16" bestFit="1" customWidth="1"/>
    <col min="12558" max="12562" width="0" style="16" hidden="1" customWidth="1"/>
    <col min="12563" max="12564" width="10.85546875" style="16" customWidth="1"/>
    <col min="12565" max="12565" width="13.28515625" style="16" bestFit="1" customWidth="1"/>
    <col min="12566" max="12566" width="10.85546875" style="16" customWidth="1"/>
    <col min="12567" max="12567" width="11.42578125" style="16" bestFit="1" customWidth="1"/>
    <col min="12568" max="12799" width="9.140625" style="16"/>
    <col min="12800" max="12800" width="0" style="16" hidden="1" customWidth="1"/>
    <col min="12801" max="12802" width="9.140625" style="16"/>
    <col min="12803" max="12803" width="21.42578125" style="16" customWidth="1"/>
    <col min="12804" max="12804" width="12.85546875" style="16" bestFit="1" customWidth="1"/>
    <col min="12805" max="12805" width="2.28515625" style="16" customWidth="1"/>
    <col min="12806" max="12806" width="13.5703125" style="16" bestFit="1" customWidth="1"/>
    <col min="12807" max="12807" width="2.7109375" style="16" customWidth="1"/>
    <col min="12808" max="12808" width="13.5703125" style="16" bestFit="1" customWidth="1"/>
    <col min="12809" max="12809" width="3.42578125" style="16" customWidth="1"/>
    <col min="12810" max="12810" width="12.28515625" style="16" bestFit="1" customWidth="1"/>
    <col min="12811" max="12811" width="12.5703125" style="16" bestFit="1" customWidth="1"/>
    <col min="12812" max="12812" width="12.5703125" style="16" customWidth="1"/>
    <col min="12813" max="12813" width="12.7109375" style="16" bestFit="1" customWidth="1"/>
    <col min="12814" max="12818" width="0" style="16" hidden="1" customWidth="1"/>
    <col min="12819" max="12820" width="10.85546875" style="16" customWidth="1"/>
    <col min="12821" max="12821" width="13.28515625" style="16" bestFit="1" customWidth="1"/>
    <col min="12822" max="12822" width="10.85546875" style="16" customWidth="1"/>
    <col min="12823" max="12823" width="11.42578125" style="16" bestFit="1" customWidth="1"/>
    <col min="12824" max="13055" width="9.140625" style="16"/>
    <col min="13056" max="13056" width="0" style="16" hidden="1" customWidth="1"/>
    <col min="13057" max="13058" width="9.140625" style="16"/>
    <col min="13059" max="13059" width="21.42578125" style="16" customWidth="1"/>
    <col min="13060" max="13060" width="12.85546875" style="16" bestFit="1" customWidth="1"/>
    <col min="13061" max="13061" width="2.28515625" style="16" customWidth="1"/>
    <col min="13062" max="13062" width="13.5703125" style="16" bestFit="1" customWidth="1"/>
    <col min="13063" max="13063" width="2.7109375" style="16" customWidth="1"/>
    <col min="13064" max="13064" width="13.5703125" style="16" bestFit="1" customWidth="1"/>
    <col min="13065" max="13065" width="3.42578125" style="16" customWidth="1"/>
    <col min="13066" max="13066" width="12.28515625" style="16" bestFit="1" customWidth="1"/>
    <col min="13067" max="13067" width="12.5703125" style="16" bestFit="1" customWidth="1"/>
    <col min="13068" max="13068" width="12.5703125" style="16" customWidth="1"/>
    <col min="13069" max="13069" width="12.7109375" style="16" bestFit="1" customWidth="1"/>
    <col min="13070" max="13074" width="0" style="16" hidden="1" customWidth="1"/>
    <col min="13075" max="13076" width="10.85546875" style="16" customWidth="1"/>
    <col min="13077" max="13077" width="13.28515625" style="16" bestFit="1" customWidth="1"/>
    <col min="13078" max="13078" width="10.85546875" style="16" customWidth="1"/>
    <col min="13079" max="13079" width="11.42578125" style="16" bestFit="1" customWidth="1"/>
    <col min="13080" max="13311" width="9.140625" style="16"/>
    <col min="13312" max="13312" width="0" style="16" hidden="1" customWidth="1"/>
    <col min="13313" max="13314" width="9.140625" style="16"/>
    <col min="13315" max="13315" width="21.42578125" style="16" customWidth="1"/>
    <col min="13316" max="13316" width="12.85546875" style="16" bestFit="1" customWidth="1"/>
    <col min="13317" max="13317" width="2.28515625" style="16" customWidth="1"/>
    <col min="13318" max="13318" width="13.5703125" style="16" bestFit="1" customWidth="1"/>
    <col min="13319" max="13319" width="2.7109375" style="16" customWidth="1"/>
    <col min="13320" max="13320" width="13.5703125" style="16" bestFit="1" customWidth="1"/>
    <col min="13321" max="13321" width="3.42578125" style="16" customWidth="1"/>
    <col min="13322" max="13322" width="12.28515625" style="16" bestFit="1" customWidth="1"/>
    <col min="13323" max="13323" width="12.5703125" style="16" bestFit="1" customWidth="1"/>
    <col min="13324" max="13324" width="12.5703125" style="16" customWidth="1"/>
    <col min="13325" max="13325" width="12.7109375" style="16" bestFit="1" customWidth="1"/>
    <col min="13326" max="13330" width="0" style="16" hidden="1" customWidth="1"/>
    <col min="13331" max="13332" width="10.85546875" style="16" customWidth="1"/>
    <col min="13333" max="13333" width="13.28515625" style="16" bestFit="1" customWidth="1"/>
    <col min="13334" max="13334" width="10.85546875" style="16" customWidth="1"/>
    <col min="13335" max="13335" width="11.42578125" style="16" bestFit="1" customWidth="1"/>
    <col min="13336" max="13567" width="9.140625" style="16"/>
    <col min="13568" max="13568" width="0" style="16" hidden="1" customWidth="1"/>
    <col min="13569" max="13570" width="9.140625" style="16"/>
    <col min="13571" max="13571" width="21.42578125" style="16" customWidth="1"/>
    <col min="13572" max="13572" width="12.85546875" style="16" bestFit="1" customWidth="1"/>
    <col min="13573" max="13573" width="2.28515625" style="16" customWidth="1"/>
    <col min="13574" max="13574" width="13.5703125" style="16" bestFit="1" customWidth="1"/>
    <col min="13575" max="13575" width="2.7109375" style="16" customWidth="1"/>
    <col min="13576" max="13576" width="13.5703125" style="16" bestFit="1" customWidth="1"/>
    <col min="13577" max="13577" width="3.42578125" style="16" customWidth="1"/>
    <col min="13578" max="13578" width="12.28515625" style="16" bestFit="1" customWidth="1"/>
    <col min="13579" max="13579" width="12.5703125" style="16" bestFit="1" customWidth="1"/>
    <col min="13580" max="13580" width="12.5703125" style="16" customWidth="1"/>
    <col min="13581" max="13581" width="12.7109375" style="16" bestFit="1" customWidth="1"/>
    <col min="13582" max="13586" width="0" style="16" hidden="1" customWidth="1"/>
    <col min="13587" max="13588" width="10.85546875" style="16" customWidth="1"/>
    <col min="13589" max="13589" width="13.28515625" style="16" bestFit="1" customWidth="1"/>
    <col min="13590" max="13590" width="10.85546875" style="16" customWidth="1"/>
    <col min="13591" max="13591" width="11.42578125" style="16" bestFit="1" customWidth="1"/>
    <col min="13592" max="13823" width="9.140625" style="16"/>
    <col min="13824" max="13824" width="0" style="16" hidden="1" customWidth="1"/>
    <col min="13825" max="13826" width="9.140625" style="16"/>
    <col min="13827" max="13827" width="21.42578125" style="16" customWidth="1"/>
    <col min="13828" max="13828" width="12.85546875" style="16" bestFit="1" customWidth="1"/>
    <col min="13829" max="13829" width="2.28515625" style="16" customWidth="1"/>
    <col min="13830" max="13830" width="13.5703125" style="16" bestFit="1" customWidth="1"/>
    <col min="13831" max="13831" width="2.7109375" style="16" customWidth="1"/>
    <col min="13832" max="13832" width="13.5703125" style="16" bestFit="1" customWidth="1"/>
    <col min="13833" max="13833" width="3.42578125" style="16" customWidth="1"/>
    <col min="13834" max="13834" width="12.28515625" style="16" bestFit="1" customWidth="1"/>
    <col min="13835" max="13835" width="12.5703125" style="16" bestFit="1" customWidth="1"/>
    <col min="13836" max="13836" width="12.5703125" style="16" customWidth="1"/>
    <col min="13837" max="13837" width="12.7109375" style="16" bestFit="1" customWidth="1"/>
    <col min="13838" max="13842" width="0" style="16" hidden="1" customWidth="1"/>
    <col min="13843" max="13844" width="10.85546875" style="16" customWidth="1"/>
    <col min="13845" max="13845" width="13.28515625" style="16" bestFit="1" customWidth="1"/>
    <col min="13846" max="13846" width="10.85546875" style="16" customWidth="1"/>
    <col min="13847" max="13847" width="11.42578125" style="16" bestFit="1" customWidth="1"/>
    <col min="13848" max="14079" width="9.140625" style="16"/>
    <col min="14080" max="14080" width="0" style="16" hidden="1" customWidth="1"/>
    <col min="14081" max="14082" width="9.140625" style="16"/>
    <col min="14083" max="14083" width="21.42578125" style="16" customWidth="1"/>
    <col min="14084" max="14084" width="12.85546875" style="16" bestFit="1" customWidth="1"/>
    <col min="14085" max="14085" width="2.28515625" style="16" customWidth="1"/>
    <col min="14086" max="14086" width="13.5703125" style="16" bestFit="1" customWidth="1"/>
    <col min="14087" max="14087" width="2.7109375" style="16" customWidth="1"/>
    <col min="14088" max="14088" width="13.5703125" style="16" bestFit="1" customWidth="1"/>
    <col min="14089" max="14089" width="3.42578125" style="16" customWidth="1"/>
    <col min="14090" max="14090" width="12.28515625" style="16" bestFit="1" customWidth="1"/>
    <col min="14091" max="14091" width="12.5703125" style="16" bestFit="1" customWidth="1"/>
    <col min="14092" max="14092" width="12.5703125" style="16" customWidth="1"/>
    <col min="14093" max="14093" width="12.7109375" style="16" bestFit="1" customWidth="1"/>
    <col min="14094" max="14098" width="0" style="16" hidden="1" customWidth="1"/>
    <col min="14099" max="14100" width="10.85546875" style="16" customWidth="1"/>
    <col min="14101" max="14101" width="13.28515625" style="16" bestFit="1" customWidth="1"/>
    <col min="14102" max="14102" width="10.85546875" style="16" customWidth="1"/>
    <col min="14103" max="14103" width="11.42578125" style="16" bestFit="1" customWidth="1"/>
    <col min="14104" max="14335" width="9.140625" style="16"/>
    <col min="14336" max="14336" width="0" style="16" hidden="1" customWidth="1"/>
    <col min="14337" max="14338" width="9.140625" style="16"/>
    <col min="14339" max="14339" width="21.42578125" style="16" customWidth="1"/>
    <col min="14340" max="14340" width="12.85546875" style="16" bestFit="1" customWidth="1"/>
    <col min="14341" max="14341" width="2.28515625" style="16" customWidth="1"/>
    <col min="14342" max="14342" width="13.5703125" style="16" bestFit="1" customWidth="1"/>
    <col min="14343" max="14343" width="2.7109375" style="16" customWidth="1"/>
    <col min="14344" max="14344" width="13.5703125" style="16" bestFit="1" customWidth="1"/>
    <col min="14345" max="14345" width="3.42578125" style="16" customWidth="1"/>
    <col min="14346" max="14346" width="12.28515625" style="16" bestFit="1" customWidth="1"/>
    <col min="14347" max="14347" width="12.5703125" style="16" bestFit="1" customWidth="1"/>
    <col min="14348" max="14348" width="12.5703125" style="16" customWidth="1"/>
    <col min="14349" max="14349" width="12.7109375" style="16" bestFit="1" customWidth="1"/>
    <col min="14350" max="14354" width="0" style="16" hidden="1" customWidth="1"/>
    <col min="14355" max="14356" width="10.85546875" style="16" customWidth="1"/>
    <col min="14357" max="14357" width="13.28515625" style="16" bestFit="1" customWidth="1"/>
    <col min="14358" max="14358" width="10.85546875" style="16" customWidth="1"/>
    <col min="14359" max="14359" width="11.42578125" style="16" bestFit="1" customWidth="1"/>
    <col min="14360" max="14591" width="9.140625" style="16"/>
    <col min="14592" max="14592" width="0" style="16" hidden="1" customWidth="1"/>
    <col min="14593" max="14594" width="9.140625" style="16"/>
    <col min="14595" max="14595" width="21.42578125" style="16" customWidth="1"/>
    <col min="14596" max="14596" width="12.85546875" style="16" bestFit="1" customWidth="1"/>
    <col min="14597" max="14597" width="2.28515625" style="16" customWidth="1"/>
    <col min="14598" max="14598" width="13.5703125" style="16" bestFit="1" customWidth="1"/>
    <col min="14599" max="14599" width="2.7109375" style="16" customWidth="1"/>
    <col min="14600" max="14600" width="13.5703125" style="16" bestFit="1" customWidth="1"/>
    <col min="14601" max="14601" width="3.42578125" style="16" customWidth="1"/>
    <col min="14602" max="14602" width="12.28515625" style="16" bestFit="1" customWidth="1"/>
    <col min="14603" max="14603" width="12.5703125" style="16" bestFit="1" customWidth="1"/>
    <col min="14604" max="14604" width="12.5703125" style="16" customWidth="1"/>
    <col min="14605" max="14605" width="12.7109375" style="16" bestFit="1" customWidth="1"/>
    <col min="14606" max="14610" width="0" style="16" hidden="1" customWidth="1"/>
    <col min="14611" max="14612" width="10.85546875" style="16" customWidth="1"/>
    <col min="14613" max="14613" width="13.28515625" style="16" bestFit="1" customWidth="1"/>
    <col min="14614" max="14614" width="10.85546875" style="16" customWidth="1"/>
    <col min="14615" max="14615" width="11.42578125" style="16" bestFit="1" customWidth="1"/>
    <col min="14616" max="14847" width="9.140625" style="16"/>
    <col min="14848" max="14848" width="0" style="16" hidden="1" customWidth="1"/>
    <col min="14849" max="14850" width="9.140625" style="16"/>
    <col min="14851" max="14851" width="21.42578125" style="16" customWidth="1"/>
    <col min="14852" max="14852" width="12.85546875" style="16" bestFit="1" customWidth="1"/>
    <col min="14853" max="14853" width="2.28515625" style="16" customWidth="1"/>
    <col min="14854" max="14854" width="13.5703125" style="16" bestFit="1" customWidth="1"/>
    <col min="14855" max="14855" width="2.7109375" style="16" customWidth="1"/>
    <col min="14856" max="14856" width="13.5703125" style="16" bestFit="1" customWidth="1"/>
    <col min="14857" max="14857" width="3.42578125" style="16" customWidth="1"/>
    <col min="14858" max="14858" width="12.28515625" style="16" bestFit="1" customWidth="1"/>
    <col min="14859" max="14859" width="12.5703125" style="16" bestFit="1" customWidth="1"/>
    <col min="14860" max="14860" width="12.5703125" style="16" customWidth="1"/>
    <col min="14861" max="14861" width="12.7109375" style="16" bestFit="1" customWidth="1"/>
    <col min="14862" max="14866" width="0" style="16" hidden="1" customWidth="1"/>
    <col min="14867" max="14868" width="10.85546875" style="16" customWidth="1"/>
    <col min="14869" max="14869" width="13.28515625" style="16" bestFit="1" customWidth="1"/>
    <col min="14870" max="14870" width="10.85546875" style="16" customWidth="1"/>
    <col min="14871" max="14871" width="11.42578125" style="16" bestFit="1" customWidth="1"/>
    <col min="14872" max="15103" width="9.140625" style="16"/>
    <col min="15104" max="15104" width="0" style="16" hidden="1" customWidth="1"/>
    <col min="15105" max="15106" width="9.140625" style="16"/>
    <col min="15107" max="15107" width="21.42578125" style="16" customWidth="1"/>
    <col min="15108" max="15108" width="12.85546875" style="16" bestFit="1" customWidth="1"/>
    <col min="15109" max="15109" width="2.28515625" style="16" customWidth="1"/>
    <col min="15110" max="15110" width="13.5703125" style="16" bestFit="1" customWidth="1"/>
    <col min="15111" max="15111" width="2.7109375" style="16" customWidth="1"/>
    <col min="15112" max="15112" width="13.5703125" style="16" bestFit="1" customWidth="1"/>
    <col min="15113" max="15113" width="3.42578125" style="16" customWidth="1"/>
    <col min="15114" max="15114" width="12.28515625" style="16" bestFit="1" customWidth="1"/>
    <col min="15115" max="15115" width="12.5703125" style="16" bestFit="1" customWidth="1"/>
    <col min="15116" max="15116" width="12.5703125" style="16" customWidth="1"/>
    <col min="15117" max="15117" width="12.7109375" style="16" bestFit="1" customWidth="1"/>
    <col min="15118" max="15122" width="0" style="16" hidden="1" customWidth="1"/>
    <col min="15123" max="15124" width="10.85546875" style="16" customWidth="1"/>
    <col min="15125" max="15125" width="13.28515625" style="16" bestFit="1" customWidth="1"/>
    <col min="15126" max="15126" width="10.85546875" style="16" customWidth="1"/>
    <col min="15127" max="15127" width="11.42578125" style="16" bestFit="1" customWidth="1"/>
    <col min="15128" max="15359" width="9.140625" style="16"/>
    <col min="15360" max="15360" width="0" style="16" hidden="1" customWidth="1"/>
    <col min="15361" max="15362" width="9.140625" style="16"/>
    <col min="15363" max="15363" width="21.42578125" style="16" customWidth="1"/>
    <col min="15364" max="15364" width="12.85546875" style="16" bestFit="1" customWidth="1"/>
    <col min="15365" max="15365" width="2.28515625" style="16" customWidth="1"/>
    <col min="15366" max="15366" width="13.5703125" style="16" bestFit="1" customWidth="1"/>
    <col min="15367" max="15367" width="2.7109375" style="16" customWidth="1"/>
    <col min="15368" max="15368" width="13.5703125" style="16" bestFit="1" customWidth="1"/>
    <col min="15369" max="15369" width="3.42578125" style="16" customWidth="1"/>
    <col min="15370" max="15370" width="12.28515625" style="16" bestFit="1" customWidth="1"/>
    <col min="15371" max="15371" width="12.5703125" style="16" bestFit="1" customWidth="1"/>
    <col min="15372" max="15372" width="12.5703125" style="16" customWidth="1"/>
    <col min="15373" max="15373" width="12.7109375" style="16" bestFit="1" customWidth="1"/>
    <col min="15374" max="15378" width="0" style="16" hidden="1" customWidth="1"/>
    <col min="15379" max="15380" width="10.85546875" style="16" customWidth="1"/>
    <col min="15381" max="15381" width="13.28515625" style="16" bestFit="1" customWidth="1"/>
    <col min="15382" max="15382" width="10.85546875" style="16" customWidth="1"/>
    <col min="15383" max="15383" width="11.42578125" style="16" bestFit="1" customWidth="1"/>
    <col min="15384" max="15615" width="9.140625" style="16"/>
    <col min="15616" max="15616" width="0" style="16" hidden="1" customWidth="1"/>
    <col min="15617" max="15618" width="9.140625" style="16"/>
    <col min="15619" max="15619" width="21.42578125" style="16" customWidth="1"/>
    <col min="15620" max="15620" width="12.85546875" style="16" bestFit="1" customWidth="1"/>
    <col min="15621" max="15621" width="2.28515625" style="16" customWidth="1"/>
    <col min="15622" max="15622" width="13.5703125" style="16" bestFit="1" customWidth="1"/>
    <col min="15623" max="15623" width="2.7109375" style="16" customWidth="1"/>
    <col min="15624" max="15624" width="13.5703125" style="16" bestFit="1" customWidth="1"/>
    <col min="15625" max="15625" width="3.42578125" style="16" customWidth="1"/>
    <col min="15626" max="15626" width="12.28515625" style="16" bestFit="1" customWidth="1"/>
    <col min="15627" max="15627" width="12.5703125" style="16" bestFit="1" customWidth="1"/>
    <col min="15628" max="15628" width="12.5703125" style="16" customWidth="1"/>
    <col min="15629" max="15629" width="12.7109375" style="16" bestFit="1" customWidth="1"/>
    <col min="15630" max="15634" width="0" style="16" hidden="1" customWidth="1"/>
    <col min="15635" max="15636" width="10.85546875" style="16" customWidth="1"/>
    <col min="15637" max="15637" width="13.28515625" style="16" bestFit="1" customWidth="1"/>
    <col min="15638" max="15638" width="10.85546875" style="16" customWidth="1"/>
    <col min="15639" max="15639" width="11.42578125" style="16" bestFit="1" customWidth="1"/>
    <col min="15640" max="15871" width="9.140625" style="16"/>
    <col min="15872" max="15872" width="0" style="16" hidden="1" customWidth="1"/>
    <col min="15873" max="15874" width="9.140625" style="16"/>
    <col min="15875" max="15875" width="21.42578125" style="16" customWidth="1"/>
    <col min="15876" max="15876" width="12.85546875" style="16" bestFit="1" customWidth="1"/>
    <col min="15877" max="15877" width="2.28515625" style="16" customWidth="1"/>
    <col min="15878" max="15878" width="13.5703125" style="16" bestFit="1" customWidth="1"/>
    <col min="15879" max="15879" width="2.7109375" style="16" customWidth="1"/>
    <col min="15880" max="15880" width="13.5703125" style="16" bestFit="1" customWidth="1"/>
    <col min="15881" max="15881" width="3.42578125" style="16" customWidth="1"/>
    <col min="15882" max="15882" width="12.28515625" style="16" bestFit="1" customWidth="1"/>
    <col min="15883" max="15883" width="12.5703125" style="16" bestFit="1" customWidth="1"/>
    <col min="15884" max="15884" width="12.5703125" style="16" customWidth="1"/>
    <col min="15885" max="15885" width="12.7109375" style="16" bestFit="1" customWidth="1"/>
    <col min="15886" max="15890" width="0" style="16" hidden="1" customWidth="1"/>
    <col min="15891" max="15892" width="10.85546875" style="16" customWidth="1"/>
    <col min="15893" max="15893" width="13.28515625" style="16" bestFit="1" customWidth="1"/>
    <col min="15894" max="15894" width="10.85546875" style="16" customWidth="1"/>
    <col min="15895" max="15895" width="11.42578125" style="16" bestFit="1" customWidth="1"/>
    <col min="15896" max="16127" width="9.140625" style="16"/>
    <col min="16128" max="16128" width="0" style="16" hidden="1" customWidth="1"/>
    <col min="16129" max="16130" width="9.140625" style="16"/>
    <col min="16131" max="16131" width="21.42578125" style="16" customWidth="1"/>
    <col min="16132" max="16132" width="12.85546875" style="16" bestFit="1" customWidth="1"/>
    <col min="16133" max="16133" width="2.28515625" style="16" customWidth="1"/>
    <col min="16134" max="16134" width="13.5703125" style="16" bestFit="1" customWidth="1"/>
    <col min="16135" max="16135" width="2.7109375" style="16" customWidth="1"/>
    <col min="16136" max="16136" width="13.5703125" style="16" bestFit="1" customWidth="1"/>
    <col min="16137" max="16137" width="3.42578125" style="16" customWidth="1"/>
    <col min="16138" max="16138" width="12.28515625" style="16" bestFit="1" customWidth="1"/>
    <col min="16139" max="16139" width="12.5703125" style="16" bestFit="1" customWidth="1"/>
    <col min="16140" max="16140" width="12.5703125" style="16" customWidth="1"/>
    <col min="16141" max="16141" width="12.7109375" style="16" bestFit="1" customWidth="1"/>
    <col min="16142" max="16146" width="0" style="16" hidden="1" customWidth="1"/>
    <col min="16147" max="16148" width="10.85546875" style="16" customWidth="1"/>
    <col min="16149" max="16149" width="13.28515625" style="16" bestFit="1" customWidth="1"/>
    <col min="16150" max="16150" width="10.85546875" style="16" customWidth="1"/>
    <col min="16151" max="16151" width="11.42578125" style="16" bestFit="1" customWidth="1"/>
    <col min="16152" max="16384" width="9.140625" style="16"/>
  </cols>
  <sheetData>
    <row r="1" spans="1:26" x14ac:dyDescent="0.2">
      <c r="A1" s="21" t="s">
        <v>450</v>
      </c>
      <c r="J1" s="108" t="s">
        <v>451</v>
      </c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26" x14ac:dyDescent="0.2">
      <c r="A2" s="21" t="s">
        <v>452</v>
      </c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6" s="57" customFormat="1" x14ac:dyDescent="0.2">
      <c r="A3" s="56" t="s">
        <v>453</v>
      </c>
      <c r="E3" s="87"/>
      <c r="J3" s="58" t="s">
        <v>454</v>
      </c>
      <c r="K3" s="57" t="s">
        <v>455</v>
      </c>
      <c r="L3" s="59" t="s">
        <v>456</v>
      </c>
      <c r="M3" s="57" t="s">
        <v>457</v>
      </c>
      <c r="N3" s="57" t="s">
        <v>458</v>
      </c>
      <c r="O3" s="57" t="s">
        <v>459</v>
      </c>
      <c r="P3" s="57" t="s">
        <v>460</v>
      </c>
      <c r="Q3" s="57" t="s">
        <v>459</v>
      </c>
      <c r="R3" s="57" t="s">
        <v>459</v>
      </c>
      <c r="S3" s="57" t="s">
        <v>461</v>
      </c>
      <c r="T3" s="57" t="s">
        <v>462</v>
      </c>
      <c r="U3" s="57" t="s">
        <v>463</v>
      </c>
      <c r="V3" s="57" t="s">
        <v>462</v>
      </c>
    </row>
    <row r="4" spans="1:26" s="57" customFormat="1" x14ac:dyDescent="0.2">
      <c r="E4" s="87"/>
      <c r="J4" s="60" t="s">
        <v>464</v>
      </c>
      <c r="K4" s="61" t="s">
        <v>465</v>
      </c>
      <c r="L4" s="62" t="s">
        <v>466</v>
      </c>
      <c r="M4" s="61" t="s">
        <v>467</v>
      </c>
      <c r="N4" s="61" t="s">
        <v>468</v>
      </c>
      <c r="O4" s="61" t="s">
        <v>469</v>
      </c>
      <c r="P4" s="61" t="s">
        <v>470</v>
      </c>
      <c r="Q4" s="61" t="s">
        <v>471</v>
      </c>
      <c r="R4" s="61" t="s">
        <v>470</v>
      </c>
      <c r="S4" s="61" t="s">
        <v>472</v>
      </c>
      <c r="T4" s="61" t="s">
        <v>473</v>
      </c>
      <c r="U4" s="61" t="s">
        <v>474</v>
      </c>
      <c r="V4" s="61" t="s">
        <v>475</v>
      </c>
    </row>
    <row r="5" spans="1:26" x14ac:dyDescent="0.2">
      <c r="A5" s="21" t="s">
        <v>476</v>
      </c>
      <c r="E5" s="63">
        <v>2016</v>
      </c>
      <c r="F5" s="63">
        <v>2015</v>
      </c>
      <c r="H5" s="63" t="s">
        <v>477</v>
      </c>
    </row>
    <row r="7" spans="1:26" x14ac:dyDescent="0.2">
      <c r="B7" s="16" t="s">
        <v>7</v>
      </c>
      <c r="E7" s="91">
        <f>+'Net Assets'!D11</f>
        <v>1025581</v>
      </c>
      <c r="F7" s="91">
        <f>+'Net Assets'!E11</f>
        <v>1524826</v>
      </c>
      <c r="G7" s="65"/>
      <c r="H7" s="92">
        <f t="shared" ref="H7:H13" si="0">+E7-F7</f>
        <v>-499245</v>
      </c>
      <c r="I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>
        <f>-H7</f>
        <v>499245</v>
      </c>
      <c r="X7" s="65"/>
      <c r="Y7" s="65"/>
      <c r="Z7" s="65"/>
    </row>
    <row r="8" spans="1:26" x14ac:dyDescent="0.2">
      <c r="B8" s="24" t="s">
        <v>18</v>
      </c>
      <c r="E8" s="91">
        <f>+'Net Assets'!D12</f>
        <v>617982</v>
      </c>
      <c r="F8" s="91">
        <f>+'Net Assets'!E12</f>
        <v>0</v>
      </c>
      <c r="G8" s="65"/>
      <c r="H8" s="92">
        <f t="shared" si="0"/>
        <v>617982</v>
      </c>
      <c r="I8" s="65"/>
      <c r="K8" s="65"/>
      <c r="L8" s="65">
        <f>-H8</f>
        <v>-617982</v>
      </c>
      <c r="M8" s="65"/>
      <c r="N8" s="65"/>
      <c r="O8" s="65"/>
      <c r="P8" s="65"/>
      <c r="Q8" s="65"/>
      <c r="R8" s="65"/>
      <c r="S8" s="65"/>
      <c r="T8" s="65"/>
      <c r="U8" s="65"/>
      <c r="V8" s="65"/>
      <c r="W8" s="65">
        <f t="shared" ref="W8:W13" si="1">SUM(H8:V8)</f>
        <v>0</v>
      </c>
      <c r="X8" s="65"/>
      <c r="Y8" s="65"/>
      <c r="Z8" s="65"/>
    </row>
    <row r="9" spans="1:26" x14ac:dyDescent="0.2">
      <c r="B9" s="16" t="s">
        <v>428</v>
      </c>
      <c r="E9" s="91">
        <f>+'Net Assets'!D13</f>
        <v>30853</v>
      </c>
      <c r="F9" s="91">
        <f>+'Net Assets'!E13</f>
        <v>12223</v>
      </c>
      <c r="G9" s="65"/>
      <c r="H9" s="92">
        <f t="shared" si="0"/>
        <v>18630</v>
      </c>
      <c r="I9" s="65"/>
      <c r="J9" s="64">
        <f>-H9</f>
        <v>-18630</v>
      </c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>
        <f t="shared" si="1"/>
        <v>0</v>
      </c>
      <c r="X9" s="65"/>
      <c r="Y9" s="65"/>
      <c r="Z9" s="65"/>
    </row>
    <row r="10" spans="1:26" x14ac:dyDescent="0.2">
      <c r="B10" s="16" t="s">
        <v>429</v>
      </c>
      <c r="E10" s="91">
        <f>+'Net Assets'!D14</f>
        <v>20140</v>
      </c>
      <c r="F10" s="91">
        <f>+'Net Assets'!E14</f>
        <v>823668</v>
      </c>
      <c r="G10" s="65"/>
      <c r="H10" s="92">
        <f t="shared" si="0"/>
        <v>-803528</v>
      </c>
      <c r="I10" s="65"/>
      <c r="J10" s="64">
        <f>-H10</f>
        <v>803528</v>
      </c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>
        <f t="shared" si="1"/>
        <v>0</v>
      </c>
      <c r="X10" s="65"/>
      <c r="Y10" s="65"/>
      <c r="Z10" s="65"/>
    </row>
    <row r="11" spans="1:26" x14ac:dyDescent="0.2">
      <c r="B11" s="16" t="s">
        <v>430</v>
      </c>
      <c r="E11" s="91">
        <f>+'Net Assets'!D15</f>
        <v>96888</v>
      </c>
      <c r="F11" s="91">
        <f>+'Net Assets'!E15</f>
        <v>112872</v>
      </c>
      <c r="G11" s="65"/>
      <c r="H11" s="92">
        <f t="shared" si="0"/>
        <v>-15984</v>
      </c>
      <c r="I11" s="65"/>
      <c r="K11" s="65">
        <f>-H11</f>
        <v>15984</v>
      </c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>
        <f t="shared" si="1"/>
        <v>0</v>
      </c>
      <c r="X11" s="65"/>
      <c r="Y11" s="65"/>
      <c r="Z11" s="65"/>
    </row>
    <row r="12" spans="1:26" x14ac:dyDescent="0.2">
      <c r="B12" s="24" t="s">
        <v>478</v>
      </c>
      <c r="E12" s="91">
        <v>0</v>
      </c>
      <c r="F12" s="91">
        <v>0</v>
      </c>
      <c r="G12" s="65"/>
      <c r="H12" s="92">
        <f t="shared" si="0"/>
        <v>0</v>
      </c>
      <c r="I12" s="65"/>
      <c r="K12" s="65">
        <f>-H12</f>
        <v>0</v>
      </c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>
        <f t="shared" si="1"/>
        <v>0</v>
      </c>
      <c r="X12" s="65"/>
      <c r="Y12" s="65"/>
      <c r="Z12" s="65"/>
    </row>
    <row r="13" spans="1:26" x14ac:dyDescent="0.2">
      <c r="B13" s="16" t="s">
        <v>432</v>
      </c>
      <c r="E13" s="91">
        <f>+'Net Assets'!D17</f>
        <v>36218</v>
      </c>
      <c r="F13" s="91">
        <f>+'Net Assets'!E17</f>
        <v>19604</v>
      </c>
      <c r="G13" s="65"/>
      <c r="H13" s="92">
        <f t="shared" si="0"/>
        <v>16614</v>
      </c>
      <c r="I13" s="65"/>
      <c r="K13" s="65"/>
      <c r="L13" s="65"/>
      <c r="M13" s="65"/>
      <c r="N13" s="65"/>
      <c r="O13" s="65"/>
      <c r="P13" s="65"/>
      <c r="Q13" s="65"/>
      <c r="R13" s="65"/>
      <c r="S13" s="33"/>
      <c r="T13" s="65"/>
      <c r="U13" s="65">
        <f>-H13</f>
        <v>-16614</v>
      </c>
      <c r="V13" s="65"/>
      <c r="W13" s="65">
        <f t="shared" si="1"/>
        <v>0</v>
      </c>
      <c r="X13" s="65"/>
      <c r="Y13" s="65"/>
      <c r="Z13" s="65"/>
    </row>
    <row r="14" spans="1:26" ht="13.5" thickBot="1" x14ac:dyDescent="0.25">
      <c r="E14" s="93">
        <f>SUM(E7:E13)</f>
        <v>1827662</v>
      </c>
      <c r="F14" s="93">
        <f>SUM(F7:F13)</f>
        <v>2493193</v>
      </c>
      <c r="G14" s="65"/>
      <c r="H14" s="94">
        <f>SUM(H7:H13)</f>
        <v>-665531</v>
      </c>
      <c r="I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</row>
    <row r="15" spans="1:26" ht="13.5" thickTop="1" x14ac:dyDescent="0.2">
      <c r="E15" s="95"/>
      <c r="F15" s="95"/>
      <c r="G15" s="65"/>
      <c r="H15" s="65"/>
      <c r="I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>
        <f>SUM(H15:V15)</f>
        <v>0</v>
      </c>
      <c r="X15" s="65"/>
      <c r="Y15" s="65"/>
      <c r="Z15" s="65"/>
    </row>
    <row r="16" spans="1:26" x14ac:dyDescent="0.2">
      <c r="B16" s="16" t="s">
        <v>52</v>
      </c>
      <c r="E16" s="91">
        <f>+'Net Assets'!D24</f>
        <v>104792</v>
      </c>
      <c r="F16" s="91">
        <f>+'Net Assets'!E24</f>
        <v>133708</v>
      </c>
      <c r="G16" s="65"/>
      <c r="H16" s="92">
        <f t="shared" ref="H16:H25" si="2">+E16-F16</f>
        <v>-28916</v>
      </c>
      <c r="I16" s="65"/>
      <c r="K16" s="65">
        <f>+H16</f>
        <v>-28916</v>
      </c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>
        <f>SUM(J16:V16)-H16</f>
        <v>0</v>
      </c>
      <c r="X16" s="65"/>
      <c r="Y16" s="65"/>
      <c r="Z16" s="65"/>
    </row>
    <row r="17" spans="1:26" hidden="1" x14ac:dyDescent="0.2">
      <c r="A17" s="21"/>
      <c r="B17" s="16" t="s">
        <v>479</v>
      </c>
      <c r="E17" s="91">
        <v>0</v>
      </c>
      <c r="F17" s="91">
        <v>0</v>
      </c>
      <c r="G17" s="65"/>
      <c r="H17" s="92">
        <f t="shared" si="2"/>
        <v>0</v>
      </c>
      <c r="I17" s="65"/>
      <c r="K17" s="65"/>
      <c r="L17" s="65"/>
      <c r="M17" s="65"/>
      <c r="N17" s="33"/>
      <c r="O17" s="33"/>
      <c r="P17" s="25"/>
      <c r="Q17" s="25"/>
      <c r="R17" s="25"/>
      <c r="S17" s="65"/>
      <c r="T17" s="65"/>
      <c r="U17" s="65"/>
      <c r="V17" s="65"/>
      <c r="W17" s="65">
        <f>SUM(J17:V17)-H17</f>
        <v>0</v>
      </c>
      <c r="X17" s="65"/>
      <c r="Y17" s="65"/>
      <c r="Z17" s="65"/>
    </row>
    <row r="18" spans="1:26" x14ac:dyDescent="0.2">
      <c r="B18" s="29" t="s">
        <v>435</v>
      </c>
      <c r="C18" s="22"/>
      <c r="E18" s="91">
        <f>+'Net Assets'!D25</f>
        <v>94232</v>
      </c>
      <c r="F18" s="91">
        <f>+'Net Assets'!E25</f>
        <v>263414</v>
      </c>
      <c r="G18" s="65"/>
      <c r="H18" s="92">
        <f t="shared" si="2"/>
        <v>-169182</v>
      </c>
      <c r="I18" s="65"/>
      <c r="K18" s="65"/>
      <c r="L18" s="65"/>
      <c r="M18" s="65">
        <f>H18</f>
        <v>-169182</v>
      </c>
      <c r="N18" s="65"/>
      <c r="O18" s="65"/>
      <c r="P18" s="65"/>
      <c r="Q18" s="65"/>
      <c r="R18" s="65"/>
      <c r="S18" s="65">
        <v>0</v>
      </c>
      <c r="T18" s="65"/>
      <c r="U18" s="64"/>
      <c r="V18" s="65"/>
      <c r="W18" s="65">
        <f>SUM(J18:V18)-H18</f>
        <v>0</v>
      </c>
      <c r="X18" s="65"/>
      <c r="Y18" s="65"/>
      <c r="Z18" s="65"/>
    </row>
    <row r="19" spans="1:26" x14ac:dyDescent="0.2">
      <c r="B19" s="24" t="s">
        <v>436</v>
      </c>
      <c r="E19" s="91">
        <f>+'Net Assets'!D26</f>
        <v>126729</v>
      </c>
      <c r="F19" s="91">
        <f>+'Net Assets'!E26</f>
        <v>142962</v>
      </c>
      <c r="G19" s="65"/>
      <c r="H19" s="92">
        <f t="shared" si="2"/>
        <v>-16233</v>
      </c>
      <c r="I19" s="65"/>
      <c r="J19" s="64">
        <f>H19</f>
        <v>-16233</v>
      </c>
      <c r="K19" s="65"/>
      <c r="L19" s="65"/>
      <c r="M19" s="65">
        <v>0</v>
      </c>
      <c r="N19" s="65"/>
      <c r="O19" s="65"/>
      <c r="P19" s="65"/>
      <c r="Q19" s="65"/>
      <c r="R19" s="65"/>
      <c r="S19" s="65"/>
      <c r="T19" s="65"/>
      <c r="U19" s="65"/>
      <c r="V19" s="65"/>
      <c r="W19" s="65">
        <f>SUM(J19:V19)-H19</f>
        <v>0</v>
      </c>
      <c r="X19" s="65"/>
      <c r="Y19" s="65"/>
      <c r="Z19" s="65"/>
    </row>
    <row r="20" spans="1:26" x14ac:dyDescent="0.2">
      <c r="B20" s="16" t="s">
        <v>364</v>
      </c>
      <c r="E20" s="91">
        <v>0</v>
      </c>
      <c r="F20" s="91">
        <v>0</v>
      </c>
      <c r="G20" s="65"/>
      <c r="H20" s="92">
        <f t="shared" si="2"/>
        <v>0</v>
      </c>
      <c r="I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</row>
    <row r="21" spans="1:26" x14ac:dyDescent="0.2">
      <c r="B21" s="16" t="s">
        <v>437</v>
      </c>
      <c r="E21" s="91">
        <f>+'Net Assets'!D27</f>
        <v>112585</v>
      </c>
      <c r="F21" s="91">
        <f>+'Net Assets'!E27</f>
        <v>126193</v>
      </c>
      <c r="G21" s="65"/>
      <c r="H21" s="92">
        <f t="shared" si="2"/>
        <v>-13608</v>
      </c>
      <c r="I21" s="65"/>
      <c r="K21" s="65">
        <f>H21</f>
        <v>-13608</v>
      </c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>
        <f>SUM(J21:V21)-H21</f>
        <v>0</v>
      </c>
      <c r="X21" s="65"/>
      <c r="Y21" s="65"/>
      <c r="Z21" s="65"/>
    </row>
    <row r="22" spans="1:26" x14ac:dyDescent="0.2">
      <c r="E22" s="95"/>
      <c r="F22" s="95"/>
      <c r="G22" s="65"/>
      <c r="H22" s="92">
        <f t="shared" si="2"/>
        <v>0</v>
      </c>
      <c r="I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>
        <f>SUM(J22:V22)-H22</f>
        <v>0</v>
      </c>
      <c r="X22" s="65"/>
      <c r="Y22" s="65"/>
      <c r="Z22" s="65"/>
    </row>
    <row r="23" spans="1:26" x14ac:dyDescent="0.2">
      <c r="B23" s="16" t="s">
        <v>480</v>
      </c>
      <c r="E23" s="96">
        <v>0</v>
      </c>
      <c r="F23" s="96">
        <v>0</v>
      </c>
      <c r="G23" s="65"/>
      <c r="H23" s="92">
        <f t="shared" si="2"/>
        <v>0</v>
      </c>
      <c r="I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</row>
    <row r="24" spans="1:26" x14ac:dyDescent="0.2">
      <c r="B24" s="16" t="s">
        <v>364</v>
      </c>
      <c r="E24" s="96">
        <v>0</v>
      </c>
      <c r="F24" s="96">
        <v>0</v>
      </c>
      <c r="G24" s="65"/>
      <c r="H24" s="92">
        <f t="shared" si="2"/>
        <v>0</v>
      </c>
      <c r="I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x14ac:dyDescent="0.2">
      <c r="B25" s="16" t="s">
        <v>481</v>
      </c>
      <c r="E25" s="97">
        <f>+'Net Assets'!D33</f>
        <v>1389324</v>
      </c>
      <c r="F25" s="97">
        <f>+'Net Assets'!E33</f>
        <v>1826916</v>
      </c>
      <c r="G25" s="65"/>
      <c r="H25" s="92">
        <f t="shared" si="2"/>
        <v>-437592</v>
      </c>
      <c r="I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</row>
    <row r="26" spans="1:26" ht="13.5" thickBot="1" x14ac:dyDescent="0.25">
      <c r="E26" s="93">
        <f>SUM(E16:E25)</f>
        <v>1827662</v>
      </c>
      <c r="F26" s="93">
        <f>SUM(F16:F25)</f>
        <v>2493193</v>
      </c>
      <c r="G26" s="98"/>
      <c r="H26" s="94">
        <f>SUM(H16:H25)</f>
        <v>-665531</v>
      </c>
      <c r="I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</row>
    <row r="27" spans="1:26" ht="13.5" thickTop="1" x14ac:dyDescent="0.2">
      <c r="E27" s="99">
        <f>+E14-E26</f>
        <v>0</v>
      </c>
      <c r="F27" s="99">
        <f>+F14-F26</f>
        <v>0</v>
      </c>
      <c r="G27" s="65"/>
      <c r="H27" s="64">
        <f>+H14-H26</f>
        <v>0</v>
      </c>
      <c r="I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>
        <f>SUM(J27:V27)-H27</f>
        <v>0</v>
      </c>
      <c r="X27" s="65"/>
      <c r="Y27" s="65"/>
      <c r="Z27" s="65"/>
    </row>
    <row r="28" spans="1:26" x14ac:dyDescent="0.2">
      <c r="E28" s="95"/>
      <c r="F28" s="100"/>
      <c r="G28" s="65"/>
      <c r="H28" s="65"/>
      <c r="I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</row>
    <row r="29" spans="1:26" x14ac:dyDescent="0.2">
      <c r="A29" s="21" t="s">
        <v>482</v>
      </c>
      <c r="E29" s="95"/>
      <c r="F29" s="65"/>
      <c r="G29" s="65"/>
      <c r="H29" s="65"/>
      <c r="I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</row>
    <row r="30" spans="1:26" x14ac:dyDescent="0.2">
      <c r="E30" s="95"/>
      <c r="F30" s="65"/>
      <c r="G30" s="65"/>
      <c r="H30" s="65"/>
      <c r="I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</row>
    <row r="31" spans="1:26" x14ac:dyDescent="0.2">
      <c r="A31" s="21"/>
      <c r="B31" s="16" t="s">
        <v>443</v>
      </c>
      <c r="E31" s="101" t="s">
        <v>364</v>
      </c>
      <c r="F31" s="65"/>
      <c r="G31" s="65"/>
      <c r="H31" s="65"/>
      <c r="I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</row>
    <row r="32" spans="1:26" x14ac:dyDescent="0.2">
      <c r="A32" s="21"/>
      <c r="B32" s="24" t="s">
        <v>87</v>
      </c>
      <c r="E32" s="101">
        <f>+'Rev &amp; Exp'!E8</f>
        <v>1375000</v>
      </c>
      <c r="F32" s="65"/>
      <c r="G32" s="65"/>
      <c r="H32" s="65"/>
      <c r="I32" s="65"/>
      <c r="J32" s="64">
        <f t="shared" ref="J32:J37" si="3">+E32</f>
        <v>1375000</v>
      </c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</row>
    <row r="33" spans="1:26" x14ac:dyDescent="0.2">
      <c r="A33" s="21"/>
      <c r="B33" s="16" t="s">
        <v>483</v>
      </c>
      <c r="E33" s="101">
        <f>+'Rev &amp; Exp'!E9</f>
        <v>1325000</v>
      </c>
      <c r="F33" s="65"/>
      <c r="G33" s="65"/>
      <c r="H33" s="65"/>
      <c r="I33" s="65"/>
      <c r="J33" s="64">
        <f t="shared" si="3"/>
        <v>1325000</v>
      </c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</row>
    <row r="34" spans="1:26" x14ac:dyDescent="0.2">
      <c r="A34" s="21"/>
      <c r="B34" s="16" t="s">
        <v>484</v>
      </c>
      <c r="E34" s="101">
        <f>+'Rev &amp; Exp'!E10</f>
        <v>27900</v>
      </c>
      <c r="F34" s="65"/>
      <c r="G34" s="65"/>
      <c r="H34" s="65"/>
      <c r="I34" s="65"/>
      <c r="J34" s="64">
        <f t="shared" si="3"/>
        <v>27900</v>
      </c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</row>
    <row r="35" spans="1:26" x14ac:dyDescent="0.2">
      <c r="A35" s="21"/>
      <c r="B35" s="16" t="s">
        <v>80</v>
      </c>
      <c r="E35" s="101">
        <f>+'Rev &amp; Exp'!E11</f>
        <v>220008</v>
      </c>
      <c r="F35" s="65"/>
      <c r="G35" s="65"/>
      <c r="H35" s="65"/>
      <c r="I35" s="65"/>
      <c r="J35" s="64">
        <f t="shared" si="3"/>
        <v>220008</v>
      </c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</row>
    <row r="36" spans="1:26" x14ac:dyDescent="0.2">
      <c r="B36" s="16" t="s">
        <v>485</v>
      </c>
      <c r="E36" s="101">
        <f>+'Rev &amp; Exp'!E12</f>
        <v>147362</v>
      </c>
      <c r="F36" s="65"/>
      <c r="G36" s="65"/>
      <c r="H36" s="65"/>
      <c r="I36" s="65"/>
      <c r="J36" s="64">
        <f t="shared" si="3"/>
        <v>147362</v>
      </c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x14ac:dyDescent="0.2">
      <c r="B37" s="16" t="s">
        <v>486</v>
      </c>
      <c r="E37" s="101">
        <f>+'Rev &amp; Exp'!E13</f>
        <v>0</v>
      </c>
      <c r="F37" s="65"/>
      <c r="G37" s="65"/>
      <c r="H37" s="65"/>
      <c r="I37" s="65"/>
      <c r="J37" s="64">
        <f t="shared" si="3"/>
        <v>0</v>
      </c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</row>
    <row r="38" spans="1:26" x14ac:dyDescent="0.2">
      <c r="B38" s="16" t="s">
        <v>487</v>
      </c>
      <c r="E38" s="101">
        <f>+'Rev &amp; Exp'!E14</f>
        <v>2174</v>
      </c>
      <c r="F38" s="65"/>
      <c r="G38" s="65"/>
      <c r="H38" s="65"/>
      <c r="I38" s="65"/>
      <c r="J38" s="64">
        <v>0</v>
      </c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>
        <f>+E38</f>
        <v>2174</v>
      </c>
      <c r="W38" s="65"/>
      <c r="X38" s="65"/>
      <c r="Y38" s="65"/>
      <c r="Z38" s="65"/>
    </row>
    <row r="39" spans="1:26" x14ac:dyDescent="0.2">
      <c r="B39" s="16" t="s">
        <v>488</v>
      </c>
      <c r="E39" s="101">
        <f>+'Rev &amp; Exp'!E15</f>
        <v>62604</v>
      </c>
      <c r="F39" s="65"/>
      <c r="G39" s="65"/>
      <c r="H39" s="65"/>
      <c r="I39" s="65"/>
      <c r="J39" s="64">
        <f>+E39</f>
        <v>62604</v>
      </c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</row>
    <row r="40" spans="1:26" x14ac:dyDescent="0.2">
      <c r="E40" s="101"/>
      <c r="F40" s="65"/>
      <c r="G40" s="65"/>
      <c r="H40" s="65"/>
      <c r="I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</row>
    <row r="41" spans="1:26" x14ac:dyDescent="0.2">
      <c r="E41" s="101" t="str">
        <f>+'Rev &amp; Exp'!E16</f>
        <v xml:space="preserve"> </v>
      </c>
      <c r="F41" s="65"/>
      <c r="G41" s="65"/>
      <c r="H41" s="65"/>
      <c r="I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spans="1:26" x14ac:dyDescent="0.2">
      <c r="B42" s="16" t="s">
        <v>444</v>
      </c>
      <c r="E42" s="101">
        <f>SUM(E32:E41)</f>
        <v>3160048</v>
      </c>
      <c r="F42" s="65"/>
      <c r="G42" s="65"/>
      <c r="H42" s="65"/>
      <c r="I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spans="1:26" x14ac:dyDescent="0.2">
      <c r="E43" s="101" t="s">
        <v>364</v>
      </c>
      <c r="F43" s="65"/>
      <c r="G43" s="65"/>
      <c r="H43" s="65"/>
      <c r="I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x14ac:dyDescent="0.2">
      <c r="E44" s="101" t="s">
        <v>364</v>
      </c>
      <c r="F44" s="65"/>
      <c r="G44" s="65"/>
      <c r="H44" s="65"/>
      <c r="I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x14ac:dyDescent="0.2">
      <c r="B45" s="16" t="s">
        <v>445</v>
      </c>
      <c r="E45" s="101" t="s">
        <v>364</v>
      </c>
      <c r="F45" s="65"/>
      <c r="G45" s="65"/>
      <c r="H45" s="65"/>
      <c r="I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46" spans="1:26" x14ac:dyDescent="0.2">
      <c r="B46" t="s">
        <v>546</v>
      </c>
      <c r="E46" s="101">
        <f>+'Rev &amp; Exp'!E22</f>
        <v>1941787</v>
      </c>
      <c r="F46" s="65"/>
      <c r="G46" s="65"/>
      <c r="H46" s="65"/>
      <c r="I46" s="65"/>
      <c r="K46" s="65"/>
      <c r="L46" s="65"/>
      <c r="M46" s="65">
        <f>-E46</f>
        <v>-1941787</v>
      </c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B47" t="s">
        <v>374</v>
      </c>
      <c r="E47" s="101">
        <f>+'Rev &amp; Exp'!E23</f>
        <v>200000</v>
      </c>
      <c r="F47" s="65"/>
      <c r="G47" s="65"/>
      <c r="H47" s="65"/>
      <c r="I47" s="65"/>
      <c r="K47" s="65">
        <f>-E47</f>
        <v>-200000</v>
      </c>
      <c r="L47" s="65"/>
      <c r="M47" s="65">
        <v>0</v>
      </c>
      <c r="N47" s="65"/>
      <c r="O47" s="65"/>
      <c r="P47" s="65"/>
      <c r="Q47" s="65"/>
      <c r="R47" s="65"/>
      <c r="S47" s="65"/>
      <c r="T47" s="65"/>
      <c r="U47" s="65"/>
      <c r="V47" s="65"/>
      <c r="W47" s="64"/>
      <c r="X47" s="65"/>
      <c r="Y47" s="65"/>
      <c r="Z47" s="65"/>
    </row>
    <row r="48" spans="1:26" x14ac:dyDescent="0.2">
      <c r="B48" t="s">
        <v>543</v>
      </c>
      <c r="E48" s="101">
        <f>+'Rev &amp; Exp'!E24</f>
        <v>125113</v>
      </c>
      <c r="F48" s="65"/>
      <c r="G48" s="65"/>
      <c r="H48" s="65"/>
      <c r="I48" s="65"/>
      <c r="K48" s="65">
        <f t="shared" ref="K48:K71" si="4">-E48</f>
        <v>-125113</v>
      </c>
      <c r="L48" s="65"/>
      <c r="M48" s="65">
        <v>0</v>
      </c>
      <c r="N48" s="65"/>
      <c r="O48" s="65"/>
      <c r="P48" s="65"/>
      <c r="Q48" s="65"/>
      <c r="R48" s="65"/>
      <c r="S48" s="65"/>
      <c r="T48" s="65"/>
      <c r="U48" s="65"/>
      <c r="V48" s="65"/>
      <c r="W48" s="64"/>
      <c r="X48" s="65"/>
      <c r="Y48" s="65"/>
      <c r="Z48" s="65"/>
    </row>
    <row r="49" spans="2:26" x14ac:dyDescent="0.2">
      <c r="B49" t="s">
        <v>165</v>
      </c>
      <c r="E49" s="101">
        <f>+'Rev &amp; Exp'!E25</f>
        <v>38118</v>
      </c>
      <c r="F49" s="65"/>
      <c r="G49" s="65"/>
      <c r="H49" s="65"/>
      <c r="I49" s="65"/>
      <c r="K49" s="65">
        <f t="shared" si="4"/>
        <v>-38118</v>
      </c>
      <c r="L49" s="65"/>
      <c r="M49" s="65">
        <v>0</v>
      </c>
      <c r="N49" s="65"/>
      <c r="O49" s="65"/>
      <c r="P49" s="65"/>
      <c r="Q49" s="65"/>
      <c r="R49" s="65"/>
      <c r="S49" s="65"/>
      <c r="T49" s="65"/>
      <c r="U49" s="65"/>
      <c r="V49" s="65"/>
      <c r="W49" s="64"/>
      <c r="X49" s="65"/>
      <c r="Y49" s="65"/>
      <c r="Z49" s="65"/>
    </row>
    <row r="50" spans="2:26" x14ac:dyDescent="0.2">
      <c r="B50" t="s">
        <v>552</v>
      </c>
      <c r="E50" s="101">
        <f>+'Rev &amp; Exp'!E26</f>
        <v>43756</v>
      </c>
      <c r="F50" s="65"/>
      <c r="G50" s="65"/>
      <c r="H50" s="65"/>
      <c r="I50" s="65"/>
      <c r="K50" s="65">
        <f t="shared" si="4"/>
        <v>-43756</v>
      </c>
      <c r="L50" s="65"/>
      <c r="M50" s="65">
        <v>0</v>
      </c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spans="2:26" x14ac:dyDescent="0.2">
      <c r="B51" t="s">
        <v>553</v>
      </c>
      <c r="E51" s="101">
        <f>+'Rev &amp; Exp'!E27</f>
        <v>20545</v>
      </c>
      <c r="F51" s="65"/>
      <c r="G51" s="65"/>
      <c r="H51" s="65"/>
      <c r="I51" s="65"/>
      <c r="K51" s="65">
        <f t="shared" si="4"/>
        <v>-20545</v>
      </c>
      <c r="L51" s="65"/>
      <c r="M51" s="65">
        <v>0</v>
      </c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2:26" x14ac:dyDescent="0.2">
      <c r="B52" t="s">
        <v>555</v>
      </c>
      <c r="E52" s="101">
        <f>+'Rev &amp; Exp'!E28</f>
        <v>220374</v>
      </c>
      <c r="F52" s="65"/>
      <c r="G52" s="65"/>
      <c r="H52" s="65"/>
      <c r="I52" s="65"/>
      <c r="K52" s="65">
        <f t="shared" si="4"/>
        <v>-220374</v>
      </c>
      <c r="L52" s="65"/>
      <c r="M52" s="65">
        <v>0</v>
      </c>
      <c r="N52" s="65"/>
      <c r="O52" s="65"/>
      <c r="P52" s="65"/>
      <c r="Q52" s="65"/>
      <c r="R52" s="65"/>
      <c r="S52" s="65"/>
      <c r="T52" s="65"/>
      <c r="U52" s="64"/>
      <c r="V52" s="65"/>
      <c r="W52" s="65"/>
      <c r="X52" s="65"/>
      <c r="Y52" s="65"/>
      <c r="Z52" s="65"/>
    </row>
    <row r="53" spans="2:26" x14ac:dyDescent="0.2">
      <c r="B53" t="s">
        <v>554</v>
      </c>
      <c r="E53" s="101">
        <f>+'Rev &amp; Exp'!E29</f>
        <v>8831</v>
      </c>
      <c r="F53" s="65"/>
      <c r="G53" s="65"/>
      <c r="H53" s="65"/>
      <c r="I53" s="65"/>
      <c r="K53" s="65">
        <f t="shared" si="4"/>
        <v>-8831</v>
      </c>
      <c r="L53" s="65"/>
      <c r="M53" s="65">
        <v>0</v>
      </c>
      <c r="N53" s="65"/>
      <c r="O53" s="65"/>
      <c r="P53" s="65"/>
      <c r="Q53" s="65"/>
      <c r="R53" s="65"/>
      <c r="S53" s="65"/>
      <c r="T53" s="65"/>
      <c r="U53" s="64"/>
      <c r="V53" s="65"/>
      <c r="W53" s="65"/>
      <c r="X53" s="65"/>
      <c r="Y53" s="65"/>
      <c r="Z53" s="65"/>
    </row>
    <row r="54" spans="2:26" x14ac:dyDescent="0.2">
      <c r="B54" t="s">
        <v>556</v>
      </c>
      <c r="E54" s="101">
        <f>+'Rev &amp; Exp'!E30</f>
        <v>115976</v>
      </c>
      <c r="F54" s="65"/>
      <c r="G54" s="65"/>
      <c r="H54" s="65"/>
      <c r="I54" s="65"/>
      <c r="K54" s="65">
        <f t="shared" si="4"/>
        <v>-115976</v>
      </c>
      <c r="L54" s="65"/>
      <c r="M54" s="65">
        <v>0</v>
      </c>
      <c r="N54" s="65"/>
      <c r="O54" s="65"/>
      <c r="P54" s="65"/>
      <c r="Q54" s="65"/>
      <c r="R54" s="65"/>
      <c r="S54" s="65"/>
      <c r="T54" s="65"/>
      <c r="U54" s="64"/>
      <c r="V54" s="65"/>
      <c r="W54" s="65"/>
      <c r="X54" s="65"/>
      <c r="Y54" s="65"/>
      <c r="Z54" s="65"/>
    </row>
    <row r="55" spans="2:26" x14ac:dyDescent="0.2">
      <c r="B55" t="s">
        <v>558</v>
      </c>
      <c r="E55" s="101">
        <f>+'Rev &amp; Exp'!E31</f>
        <v>101202</v>
      </c>
      <c r="F55" s="65"/>
      <c r="G55" s="65"/>
      <c r="H55" s="65"/>
      <c r="I55" s="65"/>
      <c r="K55" s="65">
        <f t="shared" si="4"/>
        <v>-101202</v>
      </c>
      <c r="L55" s="65"/>
      <c r="M55" s="65">
        <v>0</v>
      </c>
      <c r="N55" s="65"/>
      <c r="O55" s="65"/>
      <c r="P55" s="65"/>
      <c r="Q55" s="65"/>
      <c r="R55" s="65"/>
      <c r="S55" s="65"/>
      <c r="T55" s="65"/>
      <c r="U55" s="64"/>
      <c r="V55" s="65"/>
      <c r="W55" s="65"/>
      <c r="X55" s="65"/>
      <c r="Y55" s="65"/>
      <c r="Z55" s="65"/>
    </row>
    <row r="56" spans="2:26" x14ac:dyDescent="0.2">
      <c r="B56" t="s">
        <v>336</v>
      </c>
      <c r="E56" s="101">
        <f>+'Rev &amp; Exp'!E32</f>
        <v>40082</v>
      </c>
      <c r="F56" s="65"/>
      <c r="G56" s="65"/>
      <c r="H56" s="65"/>
      <c r="I56" s="65"/>
      <c r="K56" s="65">
        <f t="shared" si="4"/>
        <v>-40082</v>
      </c>
      <c r="L56" s="65"/>
      <c r="M56" s="65">
        <v>0</v>
      </c>
      <c r="N56" s="65"/>
      <c r="O56" s="65"/>
      <c r="P56" s="65"/>
      <c r="Q56" s="65"/>
      <c r="R56" s="65"/>
      <c r="S56" s="65"/>
      <c r="T56" s="65"/>
      <c r="U56" s="64"/>
      <c r="V56" s="65"/>
      <c r="W56" s="65"/>
      <c r="X56" s="65"/>
      <c r="Y56" s="65"/>
      <c r="Z56" s="65"/>
    </row>
    <row r="57" spans="2:26" x14ac:dyDescent="0.2">
      <c r="B57" t="s">
        <v>548</v>
      </c>
      <c r="E57" s="101">
        <f>+'Rev &amp; Exp'!E33</f>
        <v>27260</v>
      </c>
      <c r="F57" s="65"/>
      <c r="G57" s="65"/>
      <c r="H57" s="65"/>
      <c r="I57" s="65"/>
      <c r="K57" s="65">
        <f t="shared" si="4"/>
        <v>-27260</v>
      </c>
      <c r="L57" s="65"/>
      <c r="M57" s="65">
        <v>0</v>
      </c>
      <c r="N57" s="65"/>
      <c r="O57" s="65"/>
      <c r="P57" s="65"/>
      <c r="Q57" s="65"/>
      <c r="R57" s="65"/>
      <c r="S57" s="65"/>
      <c r="T57" s="65"/>
      <c r="U57" s="64"/>
      <c r="V57" s="65"/>
      <c r="W57" s="65"/>
      <c r="X57" s="65"/>
      <c r="Y57" s="65"/>
      <c r="Z57" s="65"/>
    </row>
    <row r="58" spans="2:26" x14ac:dyDescent="0.2">
      <c r="B58" t="s">
        <v>551</v>
      </c>
      <c r="E58" s="101">
        <f>+'Rev &amp; Exp'!E34</f>
        <v>15372</v>
      </c>
      <c r="F58" s="65"/>
      <c r="G58" s="65"/>
      <c r="H58" s="65"/>
      <c r="I58" s="65"/>
      <c r="K58" s="65">
        <f t="shared" si="4"/>
        <v>-15372</v>
      </c>
      <c r="L58" s="65"/>
      <c r="M58" s="65">
        <v>0</v>
      </c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</row>
    <row r="59" spans="2:26" x14ac:dyDescent="0.2">
      <c r="B59" t="s">
        <v>545</v>
      </c>
      <c r="E59" s="101">
        <f>+'Rev &amp; Exp'!E35</f>
        <v>69094</v>
      </c>
      <c r="F59" s="65"/>
      <c r="G59" s="65"/>
      <c r="H59" s="65"/>
      <c r="I59" s="65"/>
      <c r="K59" s="65">
        <f t="shared" si="4"/>
        <v>-69094</v>
      </c>
      <c r="L59" s="65"/>
      <c r="M59" s="65">
        <v>0</v>
      </c>
      <c r="N59" s="65"/>
      <c r="O59" s="65"/>
      <c r="P59" s="65"/>
      <c r="Q59" s="65"/>
      <c r="R59" s="65"/>
      <c r="S59" s="65"/>
      <c r="T59" s="65"/>
      <c r="U59" s="64"/>
      <c r="V59" s="65"/>
      <c r="W59" s="65"/>
      <c r="X59" s="65"/>
      <c r="Y59" s="65"/>
      <c r="Z59" s="65"/>
    </row>
    <row r="60" spans="2:26" x14ac:dyDescent="0.2">
      <c r="B60" t="s">
        <v>332</v>
      </c>
      <c r="E60" s="101">
        <f>+'Rev &amp; Exp'!E36</f>
        <v>24514</v>
      </c>
      <c r="F60" s="65"/>
      <c r="G60" s="65"/>
      <c r="H60" s="65"/>
      <c r="I60" s="65"/>
      <c r="K60" s="65">
        <f t="shared" si="4"/>
        <v>-24514</v>
      </c>
      <c r="L60" s="65"/>
      <c r="M60" s="65">
        <v>0</v>
      </c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</row>
    <row r="61" spans="2:26" x14ac:dyDescent="0.2">
      <c r="B61" t="s">
        <v>312</v>
      </c>
      <c r="E61" s="101">
        <f>+'Rev &amp; Exp'!E37</f>
        <v>30610</v>
      </c>
      <c r="F61" s="65"/>
      <c r="G61" s="65"/>
      <c r="H61" s="65"/>
      <c r="I61" s="65"/>
      <c r="K61" s="65">
        <f t="shared" si="4"/>
        <v>-30610</v>
      </c>
      <c r="L61" s="65"/>
      <c r="M61" s="65">
        <v>0</v>
      </c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</row>
    <row r="62" spans="2:26" x14ac:dyDescent="0.2">
      <c r="B62" t="s">
        <v>314</v>
      </c>
      <c r="E62" s="101">
        <f>+'Rev &amp; Exp'!E38</f>
        <v>401531</v>
      </c>
      <c r="F62" s="65"/>
      <c r="G62" s="65"/>
      <c r="H62" s="65"/>
      <c r="I62" s="65"/>
      <c r="K62" s="65">
        <f t="shared" si="4"/>
        <v>-401531</v>
      </c>
      <c r="L62" s="65"/>
      <c r="M62" s="65">
        <v>0</v>
      </c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</row>
    <row r="63" spans="2:26" x14ac:dyDescent="0.2">
      <c r="B63" t="s">
        <v>557</v>
      </c>
      <c r="E63" s="101">
        <f>+'Rev &amp; Exp'!E39</f>
        <v>20721</v>
      </c>
      <c r="F63" s="65"/>
      <c r="G63" s="65"/>
      <c r="H63" s="65"/>
      <c r="I63" s="65"/>
      <c r="K63" s="65">
        <f t="shared" si="4"/>
        <v>-20721</v>
      </c>
      <c r="L63" s="65"/>
      <c r="M63" s="65">
        <v>0</v>
      </c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</row>
    <row r="64" spans="2:26" x14ac:dyDescent="0.2">
      <c r="B64" t="s">
        <v>544</v>
      </c>
      <c r="E64" s="101">
        <f>+'Rev &amp; Exp'!E40</f>
        <v>12265</v>
      </c>
      <c r="F64" s="65"/>
      <c r="G64" s="65"/>
      <c r="H64" s="65"/>
      <c r="I64" s="65"/>
      <c r="K64" s="65">
        <f t="shared" si="4"/>
        <v>-12265</v>
      </c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</row>
    <row r="65" spans="2:26" x14ac:dyDescent="0.2">
      <c r="B65" t="s">
        <v>550</v>
      </c>
      <c r="E65" s="101">
        <f>+'Rev &amp; Exp'!E41</f>
        <v>39300</v>
      </c>
      <c r="F65" s="65"/>
      <c r="G65" s="65"/>
      <c r="H65" s="65"/>
      <c r="I65" s="65"/>
      <c r="K65" s="65">
        <f t="shared" si="4"/>
        <v>-39300</v>
      </c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</row>
    <row r="66" spans="2:26" x14ac:dyDescent="0.2">
      <c r="B66" t="s">
        <v>549</v>
      </c>
      <c r="E66" s="101">
        <f>+'Rev &amp; Exp'!E42</f>
        <v>22255</v>
      </c>
      <c r="F66" s="65"/>
      <c r="G66" s="65"/>
      <c r="H66" s="65"/>
      <c r="I66" s="65"/>
      <c r="K66" s="65">
        <f t="shared" si="4"/>
        <v>-22255</v>
      </c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</row>
    <row r="67" spans="2:26" x14ac:dyDescent="0.2">
      <c r="B67" t="s">
        <v>510</v>
      </c>
      <c r="E67" s="101">
        <f>+'Rev &amp; Exp'!E43</f>
        <v>10160</v>
      </c>
      <c r="F67" s="65"/>
      <c r="G67" s="65"/>
      <c r="H67" s="65"/>
      <c r="I67" s="65"/>
      <c r="K67" s="65">
        <v>0</v>
      </c>
      <c r="L67" s="65"/>
      <c r="M67" s="65"/>
      <c r="N67" s="65"/>
      <c r="O67" s="65"/>
      <c r="P67" s="65"/>
      <c r="Q67" s="65"/>
      <c r="R67" s="65"/>
      <c r="S67" s="65"/>
      <c r="T67" s="65"/>
      <c r="U67" s="65">
        <f>-E67</f>
        <v>-10160</v>
      </c>
      <c r="V67" s="65"/>
      <c r="W67" s="65"/>
      <c r="X67" s="65"/>
      <c r="Y67" s="65"/>
      <c r="Z67" s="65"/>
    </row>
    <row r="68" spans="2:26" x14ac:dyDescent="0.2">
      <c r="B68" t="s">
        <v>547</v>
      </c>
      <c r="E68" s="101">
        <f>+'Rev &amp; Exp'!E44</f>
        <v>0</v>
      </c>
      <c r="F68" s="65"/>
      <c r="G68" s="65"/>
      <c r="H68" s="65"/>
      <c r="I68" s="65"/>
      <c r="K68" s="65">
        <f>-E68</f>
        <v>0</v>
      </c>
      <c r="L68" s="65"/>
      <c r="M68" s="65">
        <v>0</v>
      </c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  <row r="69" spans="2:26" x14ac:dyDescent="0.2">
      <c r="B69" t="s">
        <v>362</v>
      </c>
      <c r="E69" s="101">
        <f>+'Rev &amp; Exp'!E45</f>
        <v>0</v>
      </c>
      <c r="F69" s="65"/>
      <c r="G69" s="65"/>
      <c r="H69" s="65"/>
      <c r="I69" s="65"/>
      <c r="K69" s="65">
        <f t="shared" si="4"/>
        <v>0</v>
      </c>
      <c r="L69" s="65"/>
      <c r="M69" s="65">
        <v>0</v>
      </c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</row>
    <row r="70" spans="2:26" x14ac:dyDescent="0.2">
      <c r="B70" t="s">
        <v>547</v>
      </c>
      <c r="E70" s="101">
        <f>+'Rev &amp; Exp'!E46</f>
        <v>1274</v>
      </c>
      <c r="F70" s="65"/>
      <c r="G70" s="65"/>
      <c r="H70" s="65"/>
      <c r="I70" s="65"/>
      <c r="K70" s="65">
        <f t="shared" si="4"/>
        <v>-1274</v>
      </c>
      <c r="L70" s="65"/>
      <c r="M70" s="65">
        <v>0</v>
      </c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</row>
    <row r="71" spans="2:26" x14ac:dyDescent="0.2">
      <c r="B71" t="s">
        <v>378</v>
      </c>
      <c r="E71" s="101">
        <f>+'Rev &amp; Exp'!E47</f>
        <v>67500</v>
      </c>
      <c r="F71" s="65"/>
      <c r="G71" s="65"/>
      <c r="H71" s="65"/>
      <c r="I71" s="65"/>
      <c r="K71" s="65">
        <f t="shared" si="4"/>
        <v>-67500</v>
      </c>
      <c r="L71" s="65"/>
      <c r="M71" s="65">
        <v>0</v>
      </c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</row>
    <row r="72" spans="2:26" x14ac:dyDescent="0.2">
      <c r="B72" s="85" t="s">
        <v>604</v>
      </c>
      <c r="E72" s="101">
        <f>+'Rev &amp; Exp'!E48</f>
        <v>70000</v>
      </c>
      <c r="F72" s="65"/>
      <c r="G72" s="65"/>
      <c r="H72" s="65"/>
      <c r="I72" s="65"/>
      <c r="K72" s="65">
        <v>0</v>
      </c>
      <c r="L72" s="65"/>
      <c r="M72" s="65">
        <v>0</v>
      </c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</row>
    <row r="73" spans="2:26" x14ac:dyDescent="0.2">
      <c r="E73" s="101" t="s">
        <v>364</v>
      </c>
      <c r="F73" s="65"/>
      <c r="G73" s="65"/>
      <c r="H73" s="65"/>
      <c r="I73" s="65"/>
      <c r="K73" s="65"/>
      <c r="L73" s="65"/>
      <c r="M73" s="65">
        <v>0</v>
      </c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</row>
    <row r="74" spans="2:26" x14ac:dyDescent="0.2">
      <c r="B74" s="16" t="s">
        <v>446</v>
      </c>
      <c r="E74" s="101">
        <f>SUM(E46:E73)</f>
        <v>3667640</v>
      </c>
      <c r="F74" s="65"/>
      <c r="G74" s="65"/>
      <c r="H74" s="65"/>
      <c r="I74" s="65"/>
      <c r="K74" s="65"/>
      <c r="L74" s="65"/>
      <c r="M74" s="65">
        <v>0</v>
      </c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</row>
    <row r="75" spans="2:26" x14ac:dyDescent="0.2">
      <c r="E75" s="101" t="s">
        <v>364</v>
      </c>
      <c r="F75" s="65"/>
      <c r="G75" s="65"/>
      <c r="H75" s="65"/>
      <c r="I75" s="65"/>
      <c r="J75" s="102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65"/>
      <c r="Y75" s="65"/>
      <c r="Z75" s="65"/>
    </row>
    <row r="76" spans="2:26" x14ac:dyDescent="0.2">
      <c r="B76" s="16" t="s">
        <v>447</v>
      </c>
      <c r="E76" s="101">
        <f>+E42-E74</f>
        <v>-507592</v>
      </c>
      <c r="F76" s="65"/>
      <c r="G76" s="65"/>
      <c r="H76" s="65"/>
      <c r="I76" s="65"/>
      <c r="J76" s="64">
        <f>SUM(J7:J75)</f>
        <v>3926539</v>
      </c>
      <c r="K76" s="64">
        <f>SUM(K7:K75)</f>
        <v>-1672233</v>
      </c>
      <c r="L76" s="64">
        <f>SUM(L7:L75)</f>
        <v>-617982</v>
      </c>
      <c r="M76" s="64">
        <f>SUM(M7:M75)</f>
        <v>-2110969</v>
      </c>
      <c r="N76" s="65"/>
      <c r="O76" s="65"/>
      <c r="P76" s="65"/>
      <c r="Q76" s="65"/>
      <c r="R76" s="65"/>
      <c r="S76" s="64">
        <f>SUM(S7:S75)</f>
        <v>0</v>
      </c>
      <c r="T76" s="64">
        <f>SUM(T7:T75)</f>
        <v>0</v>
      </c>
      <c r="U76" s="64">
        <f>SUM(U7:U75)</f>
        <v>-26774</v>
      </c>
      <c r="V76" s="64">
        <f>SUM(V7:V75)</f>
        <v>2174</v>
      </c>
      <c r="W76" s="64">
        <f>SUM(J76:V76)</f>
        <v>-499245</v>
      </c>
      <c r="X76" s="65"/>
      <c r="Y76" s="65"/>
      <c r="Z76" s="65"/>
    </row>
    <row r="77" spans="2:26" x14ac:dyDescent="0.2">
      <c r="E77" s="101" t="s">
        <v>364</v>
      </c>
      <c r="F77" s="65"/>
      <c r="G77" s="65"/>
      <c r="H77" s="65"/>
      <c r="I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 t="s">
        <v>608</v>
      </c>
      <c r="W77" s="89">
        <f>-L76</f>
        <v>617982</v>
      </c>
      <c r="X77" s="65"/>
      <c r="Y77" s="65"/>
      <c r="Z77" s="65"/>
    </row>
    <row r="78" spans="2:26" x14ac:dyDescent="0.2">
      <c r="E78" s="95">
        <f>+E76-'Rev &amp; Exp'!E55</f>
        <v>0</v>
      </c>
      <c r="F78" s="65"/>
      <c r="G78" s="65"/>
      <c r="H78" s="65"/>
      <c r="I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>
        <f>SUM(W76:W77)</f>
        <v>118737</v>
      </c>
      <c r="X78" s="65"/>
      <c r="Y78" s="65"/>
      <c r="Z78" s="65"/>
    </row>
    <row r="79" spans="2:26" x14ac:dyDescent="0.2">
      <c r="E79" s="95"/>
      <c r="F79" s="65"/>
      <c r="G79" s="65"/>
      <c r="H79" s="65"/>
      <c r="I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</row>
  </sheetData>
  <mergeCells count="1">
    <mergeCell ref="J1:V1"/>
  </mergeCells>
  <pageMargins left="0" right="0" top="0" bottom="0" header="0" footer="0"/>
  <pageSetup scale="60" orientation="landscape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0"/>
  <sheetViews>
    <sheetView workbookViewId="0">
      <selection activeCell="E36" sqref="E36"/>
    </sheetView>
  </sheetViews>
  <sheetFormatPr defaultRowHeight="12.75" x14ac:dyDescent="0.2"/>
  <cols>
    <col min="1" max="1" width="7.140625" customWidth="1"/>
    <col min="2" max="2" width="10" customWidth="1"/>
    <col min="3" max="3" width="31.28515625" style="14" customWidth="1"/>
    <col min="4" max="4" width="13.5703125" style="14" customWidth="1"/>
    <col min="5" max="5" width="17.42578125" style="14" customWidth="1"/>
    <col min="6" max="6" width="15" style="14" customWidth="1"/>
    <col min="7" max="7" width="16" style="14" customWidth="1"/>
    <col min="8" max="8" width="9.140625" style="14"/>
  </cols>
  <sheetData>
    <row r="3" spans="1:7" x14ac:dyDescent="0.2">
      <c r="A3" s="13" t="s">
        <v>563</v>
      </c>
      <c r="C3"/>
      <c r="D3"/>
      <c r="E3"/>
    </row>
    <row r="4" spans="1:7" x14ac:dyDescent="0.2">
      <c r="A4" s="13" t="s">
        <v>1</v>
      </c>
      <c r="B4" s="13" t="s">
        <v>560</v>
      </c>
      <c r="C4" s="13" t="s">
        <v>3</v>
      </c>
      <c r="D4" t="s">
        <v>561</v>
      </c>
      <c r="E4"/>
    </row>
    <row r="5" spans="1:7" x14ac:dyDescent="0.2">
      <c r="A5">
        <v>1</v>
      </c>
      <c r="B5">
        <v>10</v>
      </c>
      <c r="C5" t="s">
        <v>7</v>
      </c>
      <c r="D5" s="15">
        <v>1025580.9700000001</v>
      </c>
      <c r="E5"/>
      <c r="F5" s="14">
        <f>+GETPIVOTDATA("10/31/2015",$A$3,"type",1,"Acct",10,"Class","Cash and cash equivalents")</f>
        <v>1025580.9700000001</v>
      </c>
      <c r="G5" s="14">
        <f>+ROUND(F5,0)</f>
        <v>1025581</v>
      </c>
    </row>
    <row r="6" spans="1:7" x14ac:dyDescent="0.2">
      <c r="B6">
        <v>11</v>
      </c>
      <c r="C6" t="s">
        <v>18</v>
      </c>
      <c r="D6" s="15">
        <v>617981.63</v>
      </c>
      <c r="E6"/>
      <c r="F6" s="14">
        <f>+GETPIVOTDATA("10/31/2015",$A$3,"type",1,"Acct",11,"Class","Investments")</f>
        <v>617981.63</v>
      </c>
      <c r="G6" s="14">
        <f t="shared" ref="G6:G61" si="0">+ROUND(F6,0)</f>
        <v>617982</v>
      </c>
    </row>
    <row r="7" spans="1:7" x14ac:dyDescent="0.2">
      <c r="B7">
        <v>12</v>
      </c>
      <c r="C7" t="s">
        <v>26</v>
      </c>
      <c r="D7" s="15">
        <v>30853.170000000002</v>
      </c>
      <c r="E7"/>
      <c r="F7" s="14">
        <f>+GETPIVOTDATA("10/31/2015",$A$3,"type",1,"Acct",12,"Class","Accounts Receivable")</f>
        <v>30853.170000000002</v>
      </c>
      <c r="G7" s="14">
        <f t="shared" si="0"/>
        <v>30853</v>
      </c>
    </row>
    <row r="8" spans="1:7" x14ac:dyDescent="0.2">
      <c r="B8">
        <v>13</v>
      </c>
      <c r="C8" t="s">
        <v>562</v>
      </c>
      <c r="D8" s="15">
        <v>20140.43</v>
      </c>
      <c r="E8"/>
      <c r="F8" s="14">
        <f>+GETPIVOTDATA("10/31/2015",$A$3,"type",1,"Acct",13,"Class","Due from City/EDC Loan ")</f>
        <v>20140.43</v>
      </c>
      <c r="G8" s="14">
        <f t="shared" si="0"/>
        <v>20140</v>
      </c>
    </row>
    <row r="9" spans="1:7" x14ac:dyDescent="0.2">
      <c r="B9">
        <v>14</v>
      </c>
      <c r="C9" t="s">
        <v>21</v>
      </c>
      <c r="D9" s="15">
        <v>96887.78</v>
      </c>
      <c r="E9"/>
      <c r="F9" s="14">
        <f>+GETPIVOTDATA("10/31/2015",$A$3,"type",1,"Acct",14,"Class","Prepaid expenses and other")</f>
        <v>96887.78</v>
      </c>
      <c r="G9" s="14">
        <f t="shared" si="0"/>
        <v>96888</v>
      </c>
    </row>
    <row r="10" spans="1:7" x14ac:dyDescent="0.2">
      <c r="B10">
        <v>15</v>
      </c>
      <c r="C10" t="s">
        <v>559</v>
      </c>
      <c r="D10" s="15">
        <v>-7.2759576141834259E-12</v>
      </c>
      <c r="E10"/>
      <c r="F10" s="14">
        <f>+GETPIVOTDATA("10/31/2015",$A$3,"type",1,"Acct",15,"Class","Due from EDC Loan")</f>
        <v>-7.2759576141834259E-12</v>
      </c>
      <c r="G10" s="14">
        <f t="shared" si="0"/>
        <v>0</v>
      </c>
    </row>
    <row r="11" spans="1:7" x14ac:dyDescent="0.2">
      <c r="B11">
        <v>16</v>
      </c>
      <c r="C11" t="s">
        <v>540</v>
      </c>
      <c r="D11" s="15">
        <v>36217.719999999958</v>
      </c>
      <c r="E11"/>
      <c r="F11" s="14">
        <f>+GETPIVOTDATA("10/31/2015",$A$3,"type",1,"Acct",16,"Class","Property &amp; equipment, net")</f>
        <v>36217.719999999958</v>
      </c>
      <c r="G11" s="14">
        <f t="shared" si="0"/>
        <v>36218</v>
      </c>
    </row>
    <row r="12" spans="1:7" x14ac:dyDescent="0.2">
      <c r="A12" t="s">
        <v>398</v>
      </c>
      <c r="C12"/>
      <c r="D12" s="15">
        <v>1827661.7</v>
      </c>
      <c r="E12"/>
      <c r="F12" s="84" t="s">
        <v>364</v>
      </c>
      <c r="G12" s="84" t="s">
        <v>364</v>
      </c>
    </row>
    <row r="13" spans="1:7" x14ac:dyDescent="0.2">
      <c r="A13">
        <v>2</v>
      </c>
      <c r="B13">
        <v>20</v>
      </c>
      <c r="C13" t="s">
        <v>52</v>
      </c>
      <c r="D13" s="15">
        <v>-104791.59</v>
      </c>
      <c r="E13"/>
      <c r="F13" s="14">
        <f>-GETPIVOTDATA("10/31/2015",$A$3,"type",2,"Acct",20,"Class","Accounts payable")</f>
        <v>104791.59</v>
      </c>
      <c r="G13" s="14">
        <f t="shared" si="0"/>
        <v>104792</v>
      </c>
    </row>
    <row r="14" spans="1:7" x14ac:dyDescent="0.2">
      <c r="B14">
        <v>21</v>
      </c>
      <c r="C14" t="s">
        <v>55</v>
      </c>
      <c r="D14" s="15">
        <v>-94232.19</v>
      </c>
      <c r="E14"/>
      <c r="F14" s="14">
        <f>-GETPIVOTDATA("10/31/2015",$A$3,"type",2,"Acct",21,"Class","Accrued expenses")</f>
        <v>94232.19</v>
      </c>
      <c r="G14" s="14">
        <f t="shared" si="0"/>
        <v>94232</v>
      </c>
    </row>
    <row r="15" spans="1:7" x14ac:dyDescent="0.2">
      <c r="B15">
        <v>22</v>
      </c>
      <c r="C15" t="s">
        <v>72</v>
      </c>
      <c r="D15" s="15">
        <v>-126729.25</v>
      </c>
      <c r="E15"/>
      <c r="F15" s="14">
        <f>-GETPIVOTDATA("10/31/2015",$A$3,"type",2,"Acct",22,"Class","Deferred Revenue")</f>
        <v>126729.25</v>
      </c>
      <c r="G15" s="14">
        <f t="shared" si="0"/>
        <v>126729</v>
      </c>
    </row>
    <row r="16" spans="1:7" x14ac:dyDescent="0.2">
      <c r="B16">
        <v>23</v>
      </c>
      <c r="C16" t="s">
        <v>74</v>
      </c>
      <c r="D16" s="15">
        <v>-112585</v>
      </c>
      <c r="E16"/>
      <c r="F16" s="14">
        <f>-GETPIVOTDATA("10/31/2015",$A$3,"type",2,"Acct",23,"Class","Deferred Credit - Lease Incentive")</f>
        <v>112585</v>
      </c>
      <c r="G16" s="14">
        <f t="shared" si="0"/>
        <v>112585</v>
      </c>
    </row>
    <row r="17" spans="1:7" x14ac:dyDescent="0.2">
      <c r="A17" t="s">
        <v>399</v>
      </c>
      <c r="C17"/>
      <c r="D17" s="15">
        <v>-438338.03</v>
      </c>
      <c r="E17"/>
      <c r="G17" s="14">
        <f t="shared" si="0"/>
        <v>0</v>
      </c>
    </row>
    <row r="18" spans="1:7" x14ac:dyDescent="0.2">
      <c r="A18">
        <v>3</v>
      </c>
      <c r="B18">
        <v>30</v>
      </c>
      <c r="C18" t="s">
        <v>76</v>
      </c>
      <c r="D18" s="15">
        <v>-1896914.54</v>
      </c>
      <c r="E18"/>
      <c r="F18" s="84" t="s">
        <v>364</v>
      </c>
      <c r="G18" s="84" t="s">
        <v>364</v>
      </c>
    </row>
    <row r="19" spans="1:7" x14ac:dyDescent="0.2">
      <c r="A19" t="s">
        <v>400</v>
      </c>
      <c r="C19"/>
      <c r="D19" s="15">
        <v>-1896914.54</v>
      </c>
      <c r="E19"/>
      <c r="F19" s="84" t="s">
        <v>364</v>
      </c>
      <c r="G19" s="84" t="s">
        <v>364</v>
      </c>
    </row>
    <row r="20" spans="1:7" x14ac:dyDescent="0.2">
      <c r="A20">
        <v>4</v>
      </c>
      <c r="B20">
        <v>40</v>
      </c>
      <c r="C20" t="s">
        <v>541</v>
      </c>
      <c r="D20" s="15">
        <v>-1375000</v>
      </c>
      <c r="E20"/>
      <c r="F20" s="84">
        <f>-GETPIVOTDATA("10/31/2015",$A$3,"type",4,"Acct",40,"Class","City contribution")</f>
        <v>1375000</v>
      </c>
      <c r="G20" s="14">
        <f t="shared" si="0"/>
        <v>1375000</v>
      </c>
    </row>
    <row r="21" spans="1:7" x14ac:dyDescent="0.2">
      <c r="B21">
        <v>41</v>
      </c>
      <c r="C21" t="s">
        <v>92</v>
      </c>
      <c r="D21" s="15">
        <v>-7000</v>
      </c>
      <c r="E21"/>
      <c r="F21" s="14">
        <f>-GETPIVOTDATA("10/31/2015",$A$3,"type",4,"Acct",41,"Class","EDC PIEA Fee Revenue")</f>
        <v>7000</v>
      </c>
      <c r="G21" s="14">
        <f t="shared" si="0"/>
        <v>7000</v>
      </c>
    </row>
    <row r="22" spans="1:7" x14ac:dyDescent="0.2">
      <c r="C22" t="s">
        <v>366</v>
      </c>
      <c r="D22" s="15">
        <v>-11900</v>
      </c>
      <c r="E22"/>
      <c r="F22" s="14">
        <f>-GETPIVOTDATA("10/31/2015",$A$3,"type",4,"Acct",41,"Class","IDA Fees")</f>
        <v>11900</v>
      </c>
      <c r="G22" s="14">
        <f t="shared" si="0"/>
        <v>11900</v>
      </c>
    </row>
    <row r="23" spans="1:7" x14ac:dyDescent="0.2">
      <c r="C23" t="s">
        <v>99</v>
      </c>
      <c r="D23" s="15">
        <v>-9000</v>
      </c>
      <c r="E23"/>
      <c r="F23" s="14">
        <f>-GETPIVOTDATA("10/31/2015",$A$3,"type",4,"Acct",41,"Class","KCIC Fees")</f>
        <v>9000</v>
      </c>
      <c r="G23" s="14">
        <f t="shared" si="0"/>
        <v>9000</v>
      </c>
    </row>
    <row r="24" spans="1:7" x14ac:dyDescent="0.2">
      <c r="C24" t="s">
        <v>101</v>
      </c>
      <c r="D24" s="15">
        <v>-25000</v>
      </c>
      <c r="E24"/>
      <c r="F24" s="14">
        <f>-GETPIVOTDATA("10/31/2015",$A$3,"type",4,"Acct",41,"Class","LCRA Fees")</f>
        <v>25000</v>
      </c>
      <c r="G24" s="14">
        <f t="shared" si="0"/>
        <v>25000</v>
      </c>
    </row>
    <row r="25" spans="1:7" x14ac:dyDescent="0.2">
      <c r="C25" t="s">
        <v>103</v>
      </c>
      <c r="D25" s="15">
        <v>0</v>
      </c>
      <c r="E25"/>
      <c r="F25" s="14">
        <f>-GETPIVOTDATA("10/31/2015",$A$3,"type",4,"Acct",41,"Class","Loan Corp Fees")</f>
        <v>0</v>
      </c>
      <c r="G25" s="14">
        <f t="shared" si="0"/>
        <v>0</v>
      </c>
    </row>
    <row r="26" spans="1:7" x14ac:dyDescent="0.2">
      <c r="C26" t="s">
        <v>120</v>
      </c>
      <c r="D26" s="15">
        <v>-1300000</v>
      </c>
      <c r="E26"/>
      <c r="F26" s="14">
        <f>-GETPIVOTDATA("10/31/2015",$A$3,"type",4,"Acct",41,"Class","TIF Fees")</f>
        <v>1300000</v>
      </c>
      <c r="G26" s="14">
        <f t="shared" si="0"/>
        <v>1300000</v>
      </c>
    </row>
    <row r="27" spans="1:7" x14ac:dyDescent="0.2">
      <c r="B27">
        <v>42</v>
      </c>
      <c r="C27" t="s">
        <v>78</v>
      </c>
      <c r="D27" s="15">
        <v>-220007.73</v>
      </c>
      <c r="E27"/>
      <c r="F27" s="14">
        <f>-GETPIVOTDATA("10/31/2015",$A$3,"type",4,"Acct",42,"Class","Business Development Revenue")</f>
        <v>220007.73</v>
      </c>
      <c r="G27" s="14">
        <f t="shared" si="0"/>
        <v>220008</v>
      </c>
    </row>
    <row r="28" spans="1:7" x14ac:dyDescent="0.2">
      <c r="B28">
        <v>45</v>
      </c>
      <c r="C28" t="s">
        <v>85</v>
      </c>
      <c r="D28" s="15">
        <v>0</v>
      </c>
      <c r="E28"/>
      <c r="F28" s="14">
        <f>-GETPIVOTDATA("10/31/2015",$A$3,"type",4,"Acct",45,"Class","Chapter 100 Bond Fees")</f>
        <v>0</v>
      </c>
      <c r="G28" s="14">
        <f t="shared" si="0"/>
        <v>0</v>
      </c>
    </row>
    <row r="29" spans="1:7" x14ac:dyDescent="0.2">
      <c r="C29" t="s">
        <v>83</v>
      </c>
      <c r="D29" s="15">
        <v>-32195</v>
      </c>
      <c r="E29"/>
      <c r="F29" s="14">
        <f>-GETPIVOTDATA("10/31/2015",$A$3,"type",4,"Acct",45,"Class","Other Revenue")</f>
        <v>32195</v>
      </c>
      <c r="G29" s="14">
        <f t="shared" si="0"/>
        <v>32195</v>
      </c>
    </row>
    <row r="30" spans="1:7" x14ac:dyDescent="0.2">
      <c r="C30" t="s">
        <v>107</v>
      </c>
      <c r="D30" s="15">
        <v>-30409.37</v>
      </c>
      <c r="E30"/>
      <c r="F30" s="14">
        <f>-GETPIVOTDATA("10/31/2015",$A$3,"type",4,"Acct",45,"Class","Photocopy Recovery")</f>
        <v>30409.37</v>
      </c>
      <c r="G30" s="14">
        <f t="shared" si="0"/>
        <v>30409</v>
      </c>
    </row>
    <row r="31" spans="1:7" x14ac:dyDescent="0.2">
      <c r="B31">
        <v>46</v>
      </c>
      <c r="C31" t="s">
        <v>95</v>
      </c>
      <c r="D31" s="15">
        <v>-2173.9899999999998</v>
      </c>
      <c r="E31"/>
      <c r="F31" s="14">
        <f>-GETPIVOTDATA("10/31/2015",$A$3,"type",4,"Acct",46,"Class","Interest income")</f>
        <v>2173.9899999999998</v>
      </c>
      <c r="G31" s="14">
        <f t="shared" si="0"/>
        <v>2174</v>
      </c>
    </row>
    <row r="32" spans="1:7" x14ac:dyDescent="0.2">
      <c r="B32">
        <v>47</v>
      </c>
      <c r="C32" t="s">
        <v>90</v>
      </c>
      <c r="D32" s="15">
        <v>0</v>
      </c>
      <c r="E32"/>
      <c r="F32" s="14">
        <f>-GETPIVOTDATA("10/31/2015",$A$3,"type",4,"Acct",47,"Class","Program Revenue")</f>
        <v>0</v>
      </c>
      <c r="G32" s="14">
        <f t="shared" si="0"/>
        <v>0</v>
      </c>
    </row>
    <row r="33" spans="1:7" x14ac:dyDescent="0.2">
      <c r="B33">
        <v>48</v>
      </c>
      <c r="C33" t="s">
        <v>542</v>
      </c>
      <c r="D33" s="15">
        <v>-147362.35999999999</v>
      </c>
      <c r="E33"/>
      <c r="F33" s="14">
        <f>-GETPIVOTDATA("10/31/2015",$A$3,"type",4,"Acct",48,"Class","Cornerstone revenues")</f>
        <v>147362.35999999999</v>
      </c>
      <c r="G33" s="14">
        <f t="shared" si="0"/>
        <v>147362</v>
      </c>
    </row>
    <row r="34" spans="1:7" x14ac:dyDescent="0.2">
      <c r="A34" t="s">
        <v>401</v>
      </c>
      <c r="C34"/>
      <c r="D34" s="15">
        <v>-3160048.45</v>
      </c>
      <c r="E34"/>
      <c r="F34" s="84" t="s">
        <v>364</v>
      </c>
      <c r="G34" s="84" t="s">
        <v>364</v>
      </c>
    </row>
    <row r="35" spans="1:7" x14ac:dyDescent="0.2">
      <c r="A35">
        <v>5</v>
      </c>
      <c r="B35">
        <v>50</v>
      </c>
      <c r="C35" t="s">
        <v>546</v>
      </c>
      <c r="D35" s="15">
        <v>1941786.6199999996</v>
      </c>
      <c r="E35"/>
      <c r="F35" s="14">
        <f>+GETPIVOTDATA("10/31/2015",$A$3,"type",5,"Acct",50,"Class","Compensation and benefits")</f>
        <v>1941786.6199999996</v>
      </c>
      <c r="G35" s="14">
        <f t="shared" si="0"/>
        <v>1941787</v>
      </c>
    </row>
    <row r="36" spans="1:7" x14ac:dyDescent="0.2">
      <c r="B36">
        <v>51</v>
      </c>
      <c r="C36" t="s">
        <v>374</v>
      </c>
      <c r="D36" s="15">
        <v>200000</v>
      </c>
      <c r="E36"/>
      <c r="F36" s="14">
        <f>+GETPIVOTDATA("10/31/2015",$A$3,"type",5,"Acct",51,"Class","KCADC Membership")</f>
        <v>200000</v>
      </c>
      <c r="G36" s="14">
        <f t="shared" si="0"/>
        <v>200000</v>
      </c>
    </row>
    <row r="37" spans="1:7" x14ac:dyDescent="0.2">
      <c r="B37">
        <v>52</v>
      </c>
      <c r="C37" t="s">
        <v>543</v>
      </c>
      <c r="D37" s="15">
        <v>125112.72</v>
      </c>
      <c r="E37"/>
      <c r="F37" s="14">
        <f>+GETPIVOTDATA("10/31/2015",$A$3,"type",5,"Acct",52,"Class","Marketing and public relations")</f>
        <v>125112.72</v>
      </c>
      <c r="G37" s="14">
        <f t="shared" si="0"/>
        <v>125113</v>
      </c>
    </row>
    <row r="38" spans="1:7" x14ac:dyDescent="0.2">
      <c r="B38">
        <v>53</v>
      </c>
      <c r="C38" t="s">
        <v>165</v>
      </c>
      <c r="D38" s="15">
        <v>38117.979999999996</v>
      </c>
      <c r="E38"/>
      <c r="F38" s="14">
        <f>+GETPIVOTDATA("10/31/2015",$A$3,"type",5,"Acct",53,"Class","Contributions and Sponsorships")</f>
        <v>38117.979999999996</v>
      </c>
      <c r="G38" s="14">
        <f t="shared" si="0"/>
        <v>38118</v>
      </c>
    </row>
    <row r="39" spans="1:7" x14ac:dyDescent="0.2">
      <c r="B39">
        <v>54</v>
      </c>
      <c r="C39" t="s">
        <v>552</v>
      </c>
      <c r="D39" s="15">
        <v>43755.89</v>
      </c>
      <c r="E39"/>
      <c r="F39" s="14">
        <f>+GETPIVOTDATA("10/31/2015",$A$3,"type",5,"Acct",54,"Class","Equipment leases and maintenance")</f>
        <v>43755.89</v>
      </c>
      <c r="G39" s="14">
        <f t="shared" si="0"/>
        <v>43756</v>
      </c>
    </row>
    <row r="40" spans="1:7" x14ac:dyDescent="0.2">
      <c r="B40">
        <v>55</v>
      </c>
      <c r="C40" t="s">
        <v>553</v>
      </c>
      <c r="D40" s="15">
        <v>20544.89</v>
      </c>
      <c r="E40"/>
      <c r="F40" s="14">
        <f>+GETPIVOTDATA("10/31/2015",$A$3,"type",5,"Acct",55,"Class","Phones")</f>
        <v>20544.89</v>
      </c>
      <c r="G40" s="14">
        <f t="shared" si="0"/>
        <v>20545</v>
      </c>
    </row>
    <row r="41" spans="1:7" x14ac:dyDescent="0.2">
      <c r="B41">
        <v>56</v>
      </c>
      <c r="C41" t="s">
        <v>555</v>
      </c>
      <c r="D41" s="15">
        <v>220374.1</v>
      </c>
      <c r="E41"/>
      <c r="F41" s="14">
        <f>+GETPIVOTDATA("10/31/2015",$A$3,"type",5,"Acct",56,"Class","Rent and utilities ")</f>
        <v>220374.1</v>
      </c>
      <c r="G41" s="14">
        <f t="shared" si="0"/>
        <v>220374</v>
      </c>
    </row>
    <row r="42" spans="1:7" x14ac:dyDescent="0.2">
      <c r="B42">
        <v>57</v>
      </c>
      <c r="C42" t="s">
        <v>554</v>
      </c>
      <c r="D42" s="15">
        <v>8831.02</v>
      </c>
      <c r="E42"/>
      <c r="F42" s="14">
        <f>+GETPIVOTDATA("10/31/2015",$A$3,"type",5,"Acct",57,"Class","Postage and delivery")</f>
        <v>8831.02</v>
      </c>
      <c r="G42" s="14">
        <f t="shared" si="0"/>
        <v>8831</v>
      </c>
    </row>
    <row r="43" spans="1:7" x14ac:dyDescent="0.2">
      <c r="B43">
        <v>58</v>
      </c>
      <c r="C43" t="s">
        <v>556</v>
      </c>
      <c r="D43" s="15">
        <v>115975.6</v>
      </c>
      <c r="E43"/>
      <c r="F43" s="14">
        <f>+GETPIVOTDATA("10/31/2015",$A$3,"type",5,"Acct",58,"Class","Accounting services ")</f>
        <v>115975.6</v>
      </c>
      <c r="G43" s="14">
        <f t="shared" si="0"/>
        <v>115976</v>
      </c>
    </row>
    <row r="44" spans="1:7" x14ac:dyDescent="0.2">
      <c r="B44">
        <v>59</v>
      </c>
      <c r="C44" t="s">
        <v>558</v>
      </c>
      <c r="D44" s="15">
        <v>101202.16</v>
      </c>
      <c r="E44"/>
      <c r="F44" s="14">
        <f>+GETPIVOTDATA("10/31/2015",$A$3,"type",5,"Acct",59,"Class","Cornerstone awards expense")</f>
        <v>101202.16</v>
      </c>
      <c r="G44" s="14">
        <f t="shared" si="0"/>
        <v>101202</v>
      </c>
    </row>
    <row r="45" spans="1:7" x14ac:dyDescent="0.2">
      <c r="B45">
        <v>60</v>
      </c>
      <c r="C45" t="s">
        <v>336</v>
      </c>
      <c r="D45" s="15">
        <v>40081.990000000005</v>
      </c>
      <c r="E45"/>
      <c r="F45" s="14">
        <f>+GETPIVOTDATA("10/31/2015",$A$3,"type",5,"Acct",60,"Class","Travel &amp; Entertainment")</f>
        <v>40081.990000000005</v>
      </c>
      <c r="G45" s="14">
        <f t="shared" si="0"/>
        <v>40082</v>
      </c>
    </row>
    <row r="46" spans="1:7" x14ac:dyDescent="0.2">
      <c r="B46">
        <v>62</v>
      </c>
      <c r="C46" t="s">
        <v>548</v>
      </c>
      <c r="D46" s="15">
        <v>27260.05</v>
      </c>
      <c r="E46"/>
      <c r="F46" s="14">
        <f>+GETPIVOTDATA("10/31/2015",$A$3,"type",5,"Acct",62,"Class","Training &amp; educational")</f>
        <v>27260.05</v>
      </c>
      <c r="G46" s="14">
        <f t="shared" si="0"/>
        <v>27260</v>
      </c>
    </row>
    <row r="47" spans="1:7" x14ac:dyDescent="0.2">
      <c r="B47">
        <v>63</v>
      </c>
      <c r="C47" t="s">
        <v>551</v>
      </c>
      <c r="D47" s="15">
        <v>15371.61</v>
      </c>
      <c r="E47"/>
      <c r="F47" s="14">
        <f>+GETPIVOTDATA("10/31/2015",$A$3,"type",5,"Acct",63,"Class","Computer equipment and software")</f>
        <v>15371.61</v>
      </c>
      <c r="G47" s="14">
        <f t="shared" si="0"/>
        <v>15372</v>
      </c>
    </row>
    <row r="48" spans="1:7" x14ac:dyDescent="0.2">
      <c r="B48">
        <v>64</v>
      </c>
      <c r="C48" t="s">
        <v>545</v>
      </c>
      <c r="D48" s="15">
        <v>69094.31</v>
      </c>
      <c r="E48"/>
      <c r="F48" s="14">
        <f>+GETPIVOTDATA("10/31/2015",$A$3,"type",5,"Acct",64,"Class","Legal services ")</f>
        <v>69094.31</v>
      </c>
      <c r="G48" s="14">
        <f t="shared" si="0"/>
        <v>69094</v>
      </c>
    </row>
    <row r="49" spans="1:7" x14ac:dyDescent="0.2">
      <c r="B49">
        <v>65</v>
      </c>
      <c r="C49" t="s">
        <v>332</v>
      </c>
      <c r="D49" s="15">
        <v>24514.27</v>
      </c>
      <c r="E49"/>
      <c r="F49" s="14">
        <f>+GETPIVOTDATA("10/31/2015",$A$3,"type",5,"Acct",65,"Class","Temporary Services")</f>
        <v>24514.27</v>
      </c>
      <c r="G49" s="14">
        <f t="shared" si="0"/>
        <v>24514</v>
      </c>
    </row>
    <row r="50" spans="1:7" x14ac:dyDescent="0.2">
      <c r="B50">
        <v>66</v>
      </c>
      <c r="C50" t="s">
        <v>312</v>
      </c>
      <c r="D50" s="15">
        <v>30609.9</v>
      </c>
      <c r="E50"/>
      <c r="F50" s="14">
        <f>+GETPIVOTDATA("10/31/2015",$A$3,"type",5,"Acct",66,"Class","Recruiting Expenses")</f>
        <v>30609.9</v>
      </c>
      <c r="G50" s="14">
        <f t="shared" si="0"/>
        <v>30610</v>
      </c>
    </row>
    <row r="51" spans="1:7" x14ac:dyDescent="0.2">
      <c r="B51">
        <v>67</v>
      </c>
      <c r="C51" t="s">
        <v>314</v>
      </c>
      <c r="D51" s="15">
        <v>401530.77</v>
      </c>
      <c r="E51"/>
      <c r="F51" s="14">
        <f>+GETPIVOTDATA("10/31/2015",$A$3,"type",5,"Acct",67,"Class","Outside Consultants")</f>
        <v>401530.77</v>
      </c>
      <c r="G51" s="14">
        <f t="shared" si="0"/>
        <v>401531</v>
      </c>
    </row>
    <row r="52" spans="1:7" x14ac:dyDescent="0.2">
      <c r="B52">
        <v>68</v>
      </c>
      <c r="C52" t="s">
        <v>557</v>
      </c>
      <c r="D52" s="15">
        <v>20721</v>
      </c>
      <c r="E52"/>
      <c r="F52" s="14">
        <f>+GETPIVOTDATA("10/31/2015",$A$3,"type",5,"Acct",68,"Class","Insurance")</f>
        <v>20721</v>
      </c>
      <c r="G52" s="14">
        <f t="shared" si="0"/>
        <v>20721</v>
      </c>
    </row>
    <row r="53" spans="1:7" x14ac:dyDescent="0.2">
      <c r="B53">
        <v>69</v>
      </c>
      <c r="C53" t="s">
        <v>544</v>
      </c>
      <c r="D53" s="15">
        <v>12264.689999999999</v>
      </c>
      <c r="E53"/>
      <c r="F53" s="14">
        <f>+GETPIVOTDATA("10/31/2015",$A$3,"type",5,"Acct",69,"Class","Other expenes")</f>
        <v>12264.689999999999</v>
      </c>
      <c r="G53" s="14">
        <f t="shared" si="0"/>
        <v>12265</v>
      </c>
    </row>
    <row r="54" spans="1:7" x14ac:dyDescent="0.2">
      <c r="B54">
        <v>70</v>
      </c>
      <c r="C54" t="s">
        <v>550</v>
      </c>
      <c r="D54" s="15">
        <v>39300.109999999986</v>
      </c>
      <c r="E54"/>
      <c r="F54" s="14">
        <f>+GETPIVOTDATA("10/31/2015",$A$3,"type",5,"Acct",70,"Class","Supplies/meetings ")</f>
        <v>39300.109999999986</v>
      </c>
      <c r="G54" s="14">
        <f t="shared" si="0"/>
        <v>39300</v>
      </c>
    </row>
    <row r="55" spans="1:7" x14ac:dyDescent="0.2">
      <c r="B55">
        <v>71</v>
      </c>
      <c r="C55" t="s">
        <v>549</v>
      </c>
      <c r="D55" s="15">
        <v>22255.39</v>
      </c>
      <c r="E55"/>
      <c r="F55" s="14">
        <f>+GETPIVOTDATA("10/31/2015",$A$3,"type",5,"Acct",71,"Class","Dues and subscriptions")</f>
        <v>22255.39</v>
      </c>
      <c r="G55" s="14">
        <f t="shared" si="0"/>
        <v>22255</v>
      </c>
    </row>
    <row r="56" spans="1:7" x14ac:dyDescent="0.2">
      <c r="B56">
        <v>72</v>
      </c>
      <c r="C56" t="s">
        <v>510</v>
      </c>
      <c r="D56" s="15">
        <v>10160.339999999998</v>
      </c>
      <c r="E56"/>
      <c r="F56" s="14">
        <f>+GETPIVOTDATA("10/31/2015",$A$3,"type",5,"Acct",72,"Class","Depreciation")</f>
        <v>10160.339999999998</v>
      </c>
      <c r="G56" s="14">
        <f t="shared" si="0"/>
        <v>10160</v>
      </c>
    </row>
    <row r="57" spans="1:7" x14ac:dyDescent="0.2">
      <c r="B57">
        <v>73</v>
      </c>
      <c r="C57" t="s">
        <v>547</v>
      </c>
      <c r="D57" s="15">
        <v>0</v>
      </c>
      <c r="E57"/>
      <c r="F57" s="14">
        <f>+GETPIVOTDATA("10/31/2015",$A$3,"type",5,"Acct",73,"Class","Program expenses")</f>
        <v>0</v>
      </c>
      <c r="G57" s="14">
        <f t="shared" si="0"/>
        <v>0</v>
      </c>
    </row>
    <row r="58" spans="1:7" x14ac:dyDescent="0.2">
      <c r="B58">
        <v>74</v>
      </c>
      <c r="C58" t="s">
        <v>362</v>
      </c>
      <c r="D58" s="15">
        <v>0</v>
      </c>
      <c r="E58"/>
      <c r="F58" s="14">
        <f>+GETPIVOTDATA("10/31/2015",$A$3,"type",5,"Acct",74,"Class","Interest Expense")</f>
        <v>0</v>
      </c>
      <c r="G58" s="14">
        <f t="shared" si="0"/>
        <v>0</v>
      </c>
    </row>
    <row r="59" spans="1:7" x14ac:dyDescent="0.2">
      <c r="B59">
        <v>76</v>
      </c>
      <c r="C59" t="s">
        <v>547</v>
      </c>
      <c r="D59" s="15">
        <v>1273.9100000000001</v>
      </c>
      <c r="E59"/>
      <c r="F59" s="14">
        <f>+GETPIVOTDATA("10/31/2015",$A$3,"type",5,"Acct",76,"Class","Program expenses")</f>
        <v>1273.9100000000001</v>
      </c>
      <c r="G59" s="14">
        <f t="shared" si="0"/>
        <v>1274</v>
      </c>
    </row>
    <row r="60" spans="1:7" x14ac:dyDescent="0.2">
      <c r="B60">
        <v>77</v>
      </c>
      <c r="C60" t="s">
        <v>378</v>
      </c>
      <c r="D60" s="15">
        <v>67500</v>
      </c>
      <c r="E60"/>
      <c r="F60" s="14">
        <f>+GETPIVOTDATA("10/31/2015",$A$3,"type",5,"Acct",77,"Class","Contribution to EDC Loan")</f>
        <v>67500</v>
      </c>
      <c r="G60" s="14">
        <f t="shared" si="0"/>
        <v>67500</v>
      </c>
    </row>
    <row r="61" spans="1:7" x14ac:dyDescent="0.2">
      <c r="B61">
        <v>75</v>
      </c>
      <c r="C61" t="s">
        <v>584</v>
      </c>
      <c r="D61" s="15">
        <v>70000</v>
      </c>
      <c r="E61"/>
      <c r="F61" s="14">
        <f>+GETPIVOTDATA("10/31/2015",$A$3,"type",5,"Acct",75,"Class","Capital outlay")</f>
        <v>70000</v>
      </c>
      <c r="G61" s="14">
        <f t="shared" si="0"/>
        <v>70000</v>
      </c>
    </row>
    <row r="62" spans="1:7" x14ac:dyDescent="0.2">
      <c r="A62" t="s">
        <v>402</v>
      </c>
      <c r="C62"/>
      <c r="D62" s="15">
        <v>3667639.3200000003</v>
      </c>
      <c r="E62"/>
    </row>
    <row r="63" spans="1:7" x14ac:dyDescent="0.2">
      <c r="A63" t="s">
        <v>396</v>
      </c>
      <c r="B63" t="s">
        <v>396</v>
      </c>
      <c r="C63" t="s">
        <v>396</v>
      </c>
      <c r="D63" s="15">
        <v>0</v>
      </c>
      <c r="E63"/>
    </row>
    <row r="64" spans="1:7" x14ac:dyDescent="0.2">
      <c r="A64" t="s">
        <v>403</v>
      </c>
      <c r="C64"/>
      <c r="D64" s="15">
        <v>0</v>
      </c>
      <c r="E64"/>
    </row>
    <row r="65" spans="1:4" x14ac:dyDescent="0.2">
      <c r="A65" t="s">
        <v>397</v>
      </c>
      <c r="C65"/>
      <c r="D65" s="15">
        <v>-7.5669959187507629E-10</v>
      </c>
    </row>
    <row r="66" spans="1:4" x14ac:dyDescent="0.2">
      <c r="C66"/>
      <c r="D66"/>
    </row>
    <row r="67" spans="1:4" x14ac:dyDescent="0.2">
      <c r="C67"/>
      <c r="D67"/>
    </row>
    <row r="68" spans="1:4" x14ac:dyDescent="0.2">
      <c r="C68"/>
      <c r="D68"/>
    </row>
    <row r="69" spans="1:4" x14ac:dyDescent="0.2">
      <c r="C69"/>
      <c r="D69"/>
    </row>
    <row r="70" spans="1:4" x14ac:dyDescent="0.2">
      <c r="C70"/>
      <c r="D70"/>
    </row>
    <row r="71" spans="1:4" x14ac:dyDescent="0.2">
      <c r="C71"/>
      <c r="D71"/>
    </row>
    <row r="72" spans="1:4" x14ac:dyDescent="0.2">
      <c r="C72"/>
      <c r="D72"/>
    </row>
    <row r="73" spans="1:4" x14ac:dyDescent="0.2">
      <c r="C73"/>
      <c r="D73"/>
    </row>
    <row r="74" spans="1:4" x14ac:dyDescent="0.2">
      <c r="C74"/>
      <c r="D74"/>
    </row>
    <row r="75" spans="1:4" x14ac:dyDescent="0.2">
      <c r="C75"/>
      <c r="D75"/>
    </row>
    <row r="76" spans="1:4" x14ac:dyDescent="0.2">
      <c r="C76"/>
      <c r="D76"/>
    </row>
    <row r="77" spans="1:4" x14ac:dyDescent="0.2">
      <c r="C77"/>
      <c r="D77"/>
    </row>
    <row r="78" spans="1:4" x14ac:dyDescent="0.2">
      <c r="C78"/>
      <c r="D78"/>
    </row>
    <row r="79" spans="1:4" x14ac:dyDescent="0.2">
      <c r="C79"/>
      <c r="D79"/>
    </row>
    <row r="80" spans="1:4" x14ac:dyDescent="0.2">
      <c r="C80"/>
      <c r="D80"/>
    </row>
    <row r="81" spans="3:4" x14ac:dyDescent="0.2">
      <c r="C81"/>
      <c r="D81"/>
    </row>
    <row r="82" spans="3:4" x14ac:dyDescent="0.2">
      <c r="C82"/>
      <c r="D82"/>
    </row>
    <row r="83" spans="3:4" x14ac:dyDescent="0.2">
      <c r="C83"/>
      <c r="D83"/>
    </row>
    <row r="84" spans="3:4" x14ac:dyDescent="0.2">
      <c r="C84"/>
      <c r="D84"/>
    </row>
    <row r="85" spans="3:4" x14ac:dyDescent="0.2">
      <c r="C85"/>
      <c r="D85"/>
    </row>
    <row r="86" spans="3:4" x14ac:dyDescent="0.2">
      <c r="C86"/>
      <c r="D86"/>
    </row>
    <row r="87" spans="3:4" x14ac:dyDescent="0.2">
      <c r="C87"/>
      <c r="D87"/>
    </row>
    <row r="88" spans="3:4" x14ac:dyDescent="0.2">
      <c r="C88"/>
      <c r="D88"/>
    </row>
    <row r="89" spans="3:4" x14ac:dyDescent="0.2">
      <c r="C89"/>
      <c r="D89"/>
    </row>
    <row r="90" spans="3:4" x14ac:dyDescent="0.2">
      <c r="C90"/>
      <c r="D90"/>
    </row>
    <row r="91" spans="3:4" x14ac:dyDescent="0.2">
      <c r="C91"/>
      <c r="D91"/>
    </row>
    <row r="92" spans="3:4" x14ac:dyDescent="0.2">
      <c r="C92"/>
      <c r="D92"/>
    </row>
    <row r="93" spans="3:4" x14ac:dyDescent="0.2">
      <c r="C93"/>
      <c r="D93"/>
    </row>
    <row r="94" spans="3:4" x14ac:dyDescent="0.2">
      <c r="C94"/>
      <c r="D94"/>
    </row>
    <row r="95" spans="3:4" x14ac:dyDescent="0.2">
      <c r="C95"/>
      <c r="D95"/>
    </row>
    <row r="96" spans="3:4" x14ac:dyDescent="0.2">
      <c r="C96"/>
      <c r="D96"/>
    </row>
    <row r="97" spans="3:4" x14ac:dyDescent="0.2">
      <c r="C97"/>
      <c r="D97"/>
    </row>
    <row r="98" spans="3:4" x14ac:dyDescent="0.2">
      <c r="C98"/>
      <c r="D98"/>
    </row>
    <row r="99" spans="3:4" x14ac:dyDescent="0.2">
      <c r="C99"/>
      <c r="D99"/>
    </row>
    <row r="100" spans="3:4" x14ac:dyDescent="0.2">
      <c r="C100"/>
      <c r="D100"/>
    </row>
    <row r="101" spans="3:4" x14ac:dyDescent="0.2">
      <c r="C101"/>
      <c r="D101"/>
    </row>
    <row r="102" spans="3:4" x14ac:dyDescent="0.2">
      <c r="C102"/>
      <c r="D102"/>
    </row>
    <row r="103" spans="3:4" x14ac:dyDescent="0.2">
      <c r="C103"/>
      <c r="D103"/>
    </row>
    <row r="104" spans="3:4" x14ac:dyDescent="0.2">
      <c r="C104"/>
      <c r="D104"/>
    </row>
    <row r="105" spans="3:4" x14ac:dyDescent="0.2">
      <c r="C105"/>
      <c r="D105"/>
    </row>
    <row r="106" spans="3:4" x14ac:dyDescent="0.2">
      <c r="C106"/>
      <c r="D106"/>
    </row>
    <row r="107" spans="3:4" x14ac:dyDescent="0.2">
      <c r="C107"/>
      <c r="D107"/>
    </row>
    <row r="108" spans="3:4" x14ac:dyDescent="0.2">
      <c r="C108"/>
      <c r="D108"/>
    </row>
    <row r="109" spans="3:4" x14ac:dyDescent="0.2">
      <c r="C109"/>
      <c r="D109"/>
    </row>
    <row r="110" spans="3:4" x14ac:dyDescent="0.2">
      <c r="C110"/>
      <c r="D110"/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B293"/>
  <sheetViews>
    <sheetView workbookViewId="0">
      <selection activeCell="M5" sqref="M5"/>
    </sheetView>
  </sheetViews>
  <sheetFormatPr defaultRowHeight="13.5" customHeight="1" x14ac:dyDescent="0.2"/>
  <cols>
    <col min="1" max="1" width="4.7109375" style="1" customWidth="1"/>
    <col min="2" max="2" width="5.140625" style="1" customWidth="1"/>
    <col min="3" max="3" width="6.28515625" style="1" customWidth="1"/>
    <col min="4" max="4" width="6.7109375" style="1" customWidth="1"/>
    <col min="5" max="5" width="27.85546875" style="1" customWidth="1"/>
    <col min="6" max="6" width="15.7109375" style="9" customWidth="1"/>
    <col min="7" max="7" width="5.7109375" style="9" customWidth="1"/>
    <col min="8" max="8" width="8.42578125" style="9" customWidth="1"/>
    <col min="9" max="9" width="7.28515625" style="9" customWidth="1"/>
    <col min="10" max="10" width="32.5703125" style="10" customWidth="1"/>
    <col min="11" max="11" width="13.5703125" style="1" customWidth="1"/>
    <col min="12" max="12" width="14.140625" style="11" customWidth="1"/>
    <col min="13" max="13" width="13.7109375" style="1" bestFit="1" customWidth="1"/>
    <col min="14" max="16384" width="9.140625" style="1"/>
  </cols>
  <sheetData>
    <row r="1" spans="1:28" s="4" customFormat="1" ht="13.5" customHeight="1" x14ac:dyDescent="0.2">
      <c r="A1" s="1" t="s">
        <v>0</v>
      </c>
      <c r="B1" s="1" t="s">
        <v>1</v>
      </c>
      <c r="C1" s="1" t="s">
        <v>2</v>
      </c>
      <c r="D1" s="1" t="s">
        <v>560</v>
      </c>
      <c r="E1" s="1" t="s">
        <v>3</v>
      </c>
      <c r="F1" s="2" t="s">
        <v>4</v>
      </c>
      <c r="G1" s="2" t="s">
        <v>4</v>
      </c>
      <c r="H1" s="2" t="s">
        <v>5</v>
      </c>
      <c r="I1" s="2" t="s">
        <v>5</v>
      </c>
      <c r="J1" s="3" t="s">
        <v>6</v>
      </c>
      <c r="K1" s="4">
        <v>42124</v>
      </c>
      <c r="L1" s="12">
        <v>42308</v>
      </c>
      <c r="M1" s="4" t="s">
        <v>621</v>
      </c>
    </row>
    <row r="2" spans="1:28" s="7" customFormat="1" ht="13.5" customHeight="1" x14ac:dyDescent="0.2">
      <c r="A2" s="1">
        <v>1</v>
      </c>
      <c r="B2" s="1">
        <v>1</v>
      </c>
      <c r="C2" s="1">
        <v>0</v>
      </c>
      <c r="D2" s="1">
        <v>10</v>
      </c>
      <c r="E2" s="1" t="s">
        <v>7</v>
      </c>
      <c r="F2" s="5" t="s">
        <v>8</v>
      </c>
      <c r="G2" s="5">
        <v>0</v>
      </c>
      <c r="H2" s="5">
        <v>1101</v>
      </c>
      <c r="I2" s="5">
        <v>0</v>
      </c>
      <c r="J2" s="5" t="s">
        <v>9</v>
      </c>
      <c r="K2" s="6">
        <v>7215.91</v>
      </c>
      <c r="L2" s="83">
        <v>0</v>
      </c>
      <c r="M2" s="103">
        <f>VLOOKUP(F2,[3]Feb2016!$B$9:$H$253,7,FALSE)</f>
        <v>0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3.5" customHeight="1" x14ac:dyDescent="0.2">
      <c r="A3" s="1">
        <v>2</v>
      </c>
      <c r="B3" s="1">
        <v>1</v>
      </c>
      <c r="C3" s="1">
        <v>0</v>
      </c>
      <c r="D3" s="1">
        <v>10</v>
      </c>
      <c r="E3" s="1" t="s">
        <v>7</v>
      </c>
      <c r="F3" s="5" t="s">
        <v>10</v>
      </c>
      <c r="G3" s="5">
        <v>0</v>
      </c>
      <c r="H3" s="5">
        <v>1105</v>
      </c>
      <c r="I3" s="5">
        <v>0</v>
      </c>
      <c r="J3" s="5" t="s">
        <v>11</v>
      </c>
      <c r="K3" s="6"/>
      <c r="L3" s="83">
        <f>VLOOKUP(F3, [4]Export1!$B$9:$H$237,7,FALSE)</f>
        <v>0</v>
      </c>
      <c r="M3" s="103">
        <f>VLOOKUP(F3,[3]Feb2016!$B$9:$H$253,7,FALSE)</f>
        <v>0</v>
      </c>
    </row>
    <row r="4" spans="1:28" ht="13.5" customHeight="1" x14ac:dyDescent="0.2">
      <c r="A4" s="1">
        <v>3</v>
      </c>
      <c r="B4" s="1">
        <v>1</v>
      </c>
      <c r="C4" s="1">
        <v>0</v>
      </c>
      <c r="D4" s="1">
        <v>10</v>
      </c>
      <c r="E4" s="1" t="s">
        <v>7</v>
      </c>
      <c r="F4" s="5" t="s">
        <v>12</v>
      </c>
      <c r="G4" s="5">
        <v>0</v>
      </c>
      <c r="H4" s="5">
        <v>1110</v>
      </c>
      <c r="I4" s="5">
        <v>0</v>
      </c>
      <c r="J4" s="5" t="s">
        <v>13</v>
      </c>
      <c r="K4" s="6">
        <v>54.92</v>
      </c>
      <c r="L4" s="83">
        <f>VLOOKUP(F4, [4]Export1!$B$9:$H$237,7,FALSE)</f>
        <v>54.92</v>
      </c>
      <c r="M4" s="103">
        <f>VLOOKUP(F4,[3]Feb2016!$B$9:$H$253,7,FALSE)</f>
        <v>54.92</v>
      </c>
    </row>
    <row r="5" spans="1:28" ht="13.5" customHeight="1" x14ac:dyDescent="0.2">
      <c r="A5" s="1">
        <v>4</v>
      </c>
      <c r="B5" s="1">
        <v>1</v>
      </c>
      <c r="C5" s="1">
        <v>0</v>
      </c>
      <c r="D5" s="1">
        <v>10</v>
      </c>
      <c r="E5" s="1" t="s">
        <v>7</v>
      </c>
      <c r="F5" s="5" t="s">
        <v>14</v>
      </c>
      <c r="G5" s="5">
        <v>0</v>
      </c>
      <c r="H5" s="5">
        <v>1115</v>
      </c>
      <c r="I5" s="5">
        <v>0</v>
      </c>
      <c r="J5" s="5" t="s">
        <v>15</v>
      </c>
      <c r="K5" s="6">
        <v>509671.43</v>
      </c>
      <c r="L5" s="83">
        <f>VLOOKUP(F5, [4]Export1!$B$9:$H$237,7,FALSE)</f>
        <v>564161.06000000006</v>
      </c>
      <c r="M5" s="103">
        <f>VLOOKUP(F5,[3]Feb2016!$B$9:$H$253,7,FALSE)</f>
        <v>879866.58</v>
      </c>
    </row>
    <row r="6" spans="1:28" ht="13.5" customHeight="1" x14ac:dyDescent="0.2">
      <c r="A6" s="1">
        <v>5</v>
      </c>
      <c r="B6" s="1">
        <v>1</v>
      </c>
      <c r="C6" s="1">
        <v>0</v>
      </c>
      <c r="D6" s="1">
        <v>10</v>
      </c>
      <c r="E6" s="1" t="s">
        <v>7</v>
      </c>
      <c r="F6" s="88" t="s">
        <v>582</v>
      </c>
      <c r="G6" s="88">
        <v>0</v>
      </c>
      <c r="H6" s="88">
        <v>1117</v>
      </c>
      <c r="I6" s="5">
        <v>0</v>
      </c>
      <c r="J6" t="s">
        <v>583</v>
      </c>
      <c r="K6" s="6"/>
      <c r="L6" s="83">
        <f>VLOOKUP(F6, [4]Export1!$B$9:$H$237,7,FALSE)</f>
        <v>70000</v>
      </c>
      <c r="M6" s="103">
        <f>VLOOKUP(F6,[3]Feb2016!$B$9:$H$253,7,FALSE)</f>
        <v>70000</v>
      </c>
    </row>
    <row r="7" spans="1:28" ht="13.5" customHeight="1" x14ac:dyDescent="0.2">
      <c r="A7" s="1">
        <v>6</v>
      </c>
      <c r="B7" s="1">
        <v>1</v>
      </c>
      <c r="C7" s="1">
        <v>0</v>
      </c>
      <c r="D7" s="1">
        <v>10</v>
      </c>
      <c r="E7" s="1" t="s">
        <v>7</v>
      </c>
      <c r="F7" s="5" t="s">
        <v>16</v>
      </c>
      <c r="G7" s="5">
        <v>0</v>
      </c>
      <c r="H7" s="5">
        <v>1119</v>
      </c>
      <c r="I7" s="5">
        <v>0</v>
      </c>
      <c r="J7" s="5" t="s">
        <v>17</v>
      </c>
      <c r="K7" s="6">
        <v>390779.26</v>
      </c>
      <c r="L7" s="83">
        <f>VLOOKUP(F7, [4]Export1!$B$9:$H$237,7,FALSE)</f>
        <v>391364.99</v>
      </c>
      <c r="M7" s="103">
        <f t="shared" ref="M7:M66" si="0">K7-L7</f>
        <v>-585.72999999998137</v>
      </c>
    </row>
    <row r="8" spans="1:28" s="7" customFormat="1" ht="13.5" customHeight="1" x14ac:dyDescent="0.2">
      <c r="A8" s="1">
        <v>7</v>
      </c>
      <c r="B8" s="1">
        <v>1</v>
      </c>
      <c r="C8" s="1">
        <v>0</v>
      </c>
      <c r="D8" s="1">
        <v>11</v>
      </c>
      <c r="E8" s="1" t="s">
        <v>18</v>
      </c>
      <c r="F8" s="5" t="s">
        <v>19</v>
      </c>
      <c r="G8" s="5">
        <v>0</v>
      </c>
      <c r="H8" s="5">
        <v>1120</v>
      </c>
      <c r="I8" s="5">
        <v>0</v>
      </c>
      <c r="J8" s="5" t="s">
        <v>20</v>
      </c>
      <c r="K8" s="6">
        <v>617105</v>
      </c>
      <c r="L8" s="83">
        <f>VLOOKUP(F8, [4]Export1!$B$9:$H$237,7,FALSE)</f>
        <v>617981.63</v>
      </c>
      <c r="M8" s="103">
        <f t="shared" si="0"/>
        <v>-876.63000000000466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s="7" customFormat="1" ht="13.5" customHeight="1" x14ac:dyDescent="0.2">
      <c r="A9" s="1">
        <v>8</v>
      </c>
      <c r="B9" s="1">
        <v>1</v>
      </c>
      <c r="C9" s="1">
        <v>0</v>
      </c>
      <c r="D9" s="1">
        <v>14</v>
      </c>
      <c r="E9" s="1" t="s">
        <v>21</v>
      </c>
      <c r="F9" s="5" t="s">
        <v>22</v>
      </c>
      <c r="G9" s="5">
        <v>0</v>
      </c>
      <c r="H9" s="5">
        <v>1175</v>
      </c>
      <c r="I9" s="5">
        <v>0</v>
      </c>
      <c r="J9" s="5" t="s">
        <v>23</v>
      </c>
      <c r="K9" s="6">
        <v>63502.78</v>
      </c>
      <c r="L9" s="83">
        <f>VLOOKUP(F9, [4]Export1!$B$9:$H$237,7,FALSE)</f>
        <v>54841.9</v>
      </c>
      <c r="M9" s="103">
        <f t="shared" si="0"/>
        <v>8660.8799999999974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s="7" customFormat="1" ht="13.5" customHeight="1" x14ac:dyDescent="0.2">
      <c r="A10" s="1">
        <v>9</v>
      </c>
      <c r="B10" s="1">
        <v>1</v>
      </c>
      <c r="C10" s="1">
        <v>0</v>
      </c>
      <c r="D10" s="1">
        <v>14</v>
      </c>
      <c r="E10" s="1" t="s">
        <v>21</v>
      </c>
      <c r="F10" s="5" t="s">
        <v>24</v>
      </c>
      <c r="G10" s="5">
        <v>0</v>
      </c>
      <c r="H10" s="5">
        <v>1180</v>
      </c>
      <c r="I10" s="5">
        <v>0</v>
      </c>
      <c r="J10" s="5" t="s">
        <v>25</v>
      </c>
      <c r="K10" s="6">
        <v>59882.44</v>
      </c>
      <c r="L10" s="83">
        <f>VLOOKUP(F10, [4]Export1!$B$9:$H$237,7,FALSE)</f>
        <v>42045.88</v>
      </c>
      <c r="M10" s="103">
        <f t="shared" si="0"/>
        <v>17836.560000000005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s="7" customFormat="1" ht="13.5" customHeight="1" x14ac:dyDescent="0.2">
      <c r="A11" s="1">
        <v>10</v>
      </c>
      <c r="B11" s="1">
        <v>1</v>
      </c>
      <c r="C11" s="1">
        <v>0</v>
      </c>
      <c r="D11" s="1">
        <v>12</v>
      </c>
      <c r="E11" s="1" t="s">
        <v>26</v>
      </c>
      <c r="F11" s="5" t="s">
        <v>27</v>
      </c>
      <c r="G11" s="5">
        <v>0</v>
      </c>
      <c r="H11" s="5">
        <v>1200</v>
      </c>
      <c r="I11" s="5">
        <v>0</v>
      </c>
      <c r="J11" s="5" t="s">
        <v>26</v>
      </c>
      <c r="K11" s="6">
        <v>822199.13</v>
      </c>
      <c r="L11" s="83">
        <f>VLOOKUP(F11, [4]Export1!$B$9:$H$237,7,FALSE)</f>
        <v>29604.560000000001</v>
      </c>
      <c r="M11" s="103">
        <f t="shared" si="0"/>
        <v>792594.57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s="7" customFormat="1" ht="13.5" customHeight="1" x14ac:dyDescent="0.2">
      <c r="A12" s="1">
        <v>11</v>
      </c>
      <c r="B12" s="1">
        <v>1</v>
      </c>
      <c r="C12" s="1">
        <v>0</v>
      </c>
      <c r="D12" s="1">
        <v>12</v>
      </c>
      <c r="E12" s="1" t="s">
        <v>26</v>
      </c>
      <c r="F12" s="5" t="s">
        <v>28</v>
      </c>
      <c r="G12" s="5">
        <v>0</v>
      </c>
      <c r="H12" s="5">
        <v>1201</v>
      </c>
      <c r="I12" s="5">
        <v>0</v>
      </c>
      <c r="J12" s="5" t="s">
        <v>29</v>
      </c>
      <c r="K12" s="6">
        <v>56</v>
      </c>
      <c r="L12" s="83">
        <f>VLOOKUP(F12, [4]Export1!$B$9:$H$237,7,FALSE)</f>
        <v>69</v>
      </c>
      <c r="M12" s="103">
        <f t="shared" si="0"/>
        <v>-13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s="7" customFormat="1" ht="13.5" customHeight="1" x14ac:dyDescent="0.2">
      <c r="A13" s="1">
        <v>12</v>
      </c>
      <c r="B13" s="1">
        <v>1</v>
      </c>
      <c r="C13" s="1">
        <v>0</v>
      </c>
      <c r="D13" s="1">
        <v>12</v>
      </c>
      <c r="E13" s="1" t="s">
        <v>26</v>
      </c>
      <c r="F13" s="5" t="s">
        <v>30</v>
      </c>
      <c r="G13" s="5">
        <v>0</v>
      </c>
      <c r="H13" s="5">
        <v>1203</v>
      </c>
      <c r="I13" s="5">
        <v>0</v>
      </c>
      <c r="J13" s="5" t="s">
        <v>31</v>
      </c>
      <c r="K13" s="6">
        <v>757.32</v>
      </c>
      <c r="L13" s="83">
        <f>VLOOKUP(F13, [4]Export1!$B$9:$H$237,7,FALSE)</f>
        <v>365</v>
      </c>
      <c r="M13" s="103">
        <f t="shared" si="0"/>
        <v>392.32000000000005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s="7" customFormat="1" ht="13.5" customHeight="1" x14ac:dyDescent="0.2">
      <c r="A14" s="1">
        <v>13</v>
      </c>
      <c r="B14" s="1">
        <v>1</v>
      </c>
      <c r="C14" s="1">
        <v>0</v>
      </c>
      <c r="D14" s="1">
        <v>13</v>
      </c>
      <c r="E14" s="1" t="s">
        <v>562</v>
      </c>
      <c r="F14" s="5" t="s">
        <v>350</v>
      </c>
      <c r="G14" s="5">
        <v>0</v>
      </c>
      <c r="H14" s="5">
        <v>1204</v>
      </c>
      <c r="I14" s="5">
        <v>0</v>
      </c>
      <c r="J14" s="5" t="s">
        <v>351</v>
      </c>
      <c r="K14" s="6">
        <v>3110.5</v>
      </c>
      <c r="L14" s="83">
        <f>VLOOKUP(F14, [4]Export1!$B$9:$H$237,7,FALSE)</f>
        <v>20140.43</v>
      </c>
      <c r="M14" s="103">
        <f t="shared" si="0"/>
        <v>-17029.93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3.5" customHeight="1" x14ac:dyDescent="0.2">
      <c r="A15" s="1">
        <v>14</v>
      </c>
      <c r="B15" s="1">
        <v>1</v>
      </c>
      <c r="C15" s="1">
        <v>0</v>
      </c>
      <c r="D15" s="1">
        <v>12</v>
      </c>
      <c r="E15" s="1" t="s">
        <v>26</v>
      </c>
      <c r="F15" s="5" t="s">
        <v>32</v>
      </c>
      <c r="G15" s="5">
        <v>0</v>
      </c>
      <c r="H15" s="5">
        <v>1210</v>
      </c>
      <c r="I15" s="5">
        <v>0</v>
      </c>
      <c r="J15" s="5" t="s">
        <v>33</v>
      </c>
      <c r="K15" s="6">
        <v>792.93</v>
      </c>
      <c r="L15" s="83">
        <f>VLOOKUP(F15, [4]Export1!$B$9:$H$237,7,FALSE)</f>
        <v>814.61</v>
      </c>
      <c r="M15" s="103">
        <f t="shared" si="0"/>
        <v>-21.680000000000064</v>
      </c>
    </row>
    <row r="16" spans="1:28" ht="13.5" customHeight="1" x14ac:dyDescent="0.2">
      <c r="A16" s="1">
        <v>15</v>
      </c>
      <c r="B16" s="1">
        <v>1</v>
      </c>
      <c r="C16" s="1">
        <v>0</v>
      </c>
      <c r="D16" s="1">
        <v>16</v>
      </c>
      <c r="E16" s="1" t="s">
        <v>540</v>
      </c>
      <c r="F16" s="5" t="s">
        <v>34</v>
      </c>
      <c r="G16" s="5">
        <v>0</v>
      </c>
      <c r="H16" s="5">
        <v>1500</v>
      </c>
      <c r="I16" s="5">
        <v>0</v>
      </c>
      <c r="J16" s="5" t="s">
        <v>35</v>
      </c>
      <c r="K16" s="6">
        <v>279833.3</v>
      </c>
      <c r="L16" s="83">
        <f>VLOOKUP(F16, [4]Export1!$B$9:$H$237,7,FALSE)</f>
        <v>290674</v>
      </c>
      <c r="M16" s="103">
        <f t="shared" si="0"/>
        <v>-10840.700000000012</v>
      </c>
    </row>
    <row r="17" spans="1:28" ht="13.5" customHeight="1" x14ac:dyDescent="0.2">
      <c r="A17" s="1">
        <v>16</v>
      </c>
      <c r="B17" s="1">
        <v>1</v>
      </c>
      <c r="C17" s="1">
        <v>0</v>
      </c>
      <c r="D17" s="1">
        <v>16</v>
      </c>
      <c r="E17" s="1" t="s">
        <v>540</v>
      </c>
      <c r="F17" s="5" t="s">
        <v>36</v>
      </c>
      <c r="G17" s="5">
        <v>0</v>
      </c>
      <c r="H17" s="5">
        <v>1505</v>
      </c>
      <c r="I17" s="5">
        <v>0</v>
      </c>
      <c r="J17" s="5" t="s">
        <v>37</v>
      </c>
      <c r="K17" s="6">
        <v>22432.25</v>
      </c>
      <c r="L17" s="83">
        <f>VLOOKUP(F17, [4]Export1!$B$9:$H$237,7,FALSE)</f>
        <v>31357.25</v>
      </c>
      <c r="M17" s="103">
        <f t="shared" si="0"/>
        <v>-8925</v>
      </c>
    </row>
    <row r="18" spans="1:28" s="7" customFormat="1" ht="13.5" customHeight="1" x14ac:dyDescent="0.2">
      <c r="A18" s="1">
        <v>17</v>
      </c>
      <c r="B18" s="1">
        <v>1</v>
      </c>
      <c r="C18" s="1">
        <v>0</v>
      </c>
      <c r="D18" s="1">
        <v>16</v>
      </c>
      <c r="E18" s="1" t="s">
        <v>540</v>
      </c>
      <c r="F18" s="5" t="s">
        <v>38</v>
      </c>
      <c r="G18" s="5">
        <v>0</v>
      </c>
      <c r="H18" s="5">
        <v>1510</v>
      </c>
      <c r="I18" s="5">
        <v>0</v>
      </c>
      <c r="J18" s="5" t="s">
        <v>39</v>
      </c>
      <c r="K18" s="6">
        <v>270371.12</v>
      </c>
      <c r="L18" s="83">
        <f>VLOOKUP(F18, [4]Export1!$B$9:$H$237,7,FALSE)</f>
        <v>271861.51</v>
      </c>
      <c r="M18" s="103">
        <f t="shared" si="0"/>
        <v>-1490.390000000014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3.5" customHeight="1" x14ac:dyDescent="0.2">
      <c r="A19" s="1">
        <v>18</v>
      </c>
      <c r="B19" s="1">
        <v>1</v>
      </c>
      <c r="C19" s="1">
        <v>0</v>
      </c>
      <c r="D19" s="1">
        <v>16</v>
      </c>
      <c r="E19" s="1" t="s">
        <v>540</v>
      </c>
      <c r="F19" s="5" t="s">
        <v>40</v>
      </c>
      <c r="G19" s="5">
        <v>0</v>
      </c>
      <c r="H19" s="5">
        <v>1515</v>
      </c>
      <c r="I19" s="5">
        <v>0</v>
      </c>
      <c r="J19" s="5" t="s">
        <v>41</v>
      </c>
      <c r="K19" s="6">
        <v>50586.71</v>
      </c>
      <c r="L19" s="83">
        <f>VLOOKUP(F19, [4]Export1!$B$9:$H$237,7,FALSE)</f>
        <v>56616.71</v>
      </c>
      <c r="M19" s="103">
        <f t="shared" si="0"/>
        <v>-6030</v>
      </c>
    </row>
    <row r="20" spans="1:28" s="7" customFormat="1" ht="13.5" customHeight="1" x14ac:dyDescent="0.2">
      <c r="A20" s="1">
        <v>19</v>
      </c>
      <c r="B20" s="1">
        <v>1</v>
      </c>
      <c r="C20" s="1">
        <v>0</v>
      </c>
      <c r="D20" s="1">
        <v>16</v>
      </c>
      <c r="E20" s="1" t="s">
        <v>540</v>
      </c>
      <c r="F20" s="5" t="s">
        <v>42</v>
      </c>
      <c r="G20" s="5">
        <v>0</v>
      </c>
      <c r="H20" s="5">
        <v>1520</v>
      </c>
      <c r="I20" s="5">
        <v>0</v>
      </c>
      <c r="J20" s="5" t="s">
        <v>43</v>
      </c>
      <c r="K20" s="6">
        <v>512.96</v>
      </c>
      <c r="L20" s="83">
        <f>VLOOKUP(F20, [4]Export1!$B$9:$H$237,7,FALSE)</f>
        <v>0</v>
      </c>
      <c r="M20" s="103">
        <f t="shared" si="0"/>
        <v>512.96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s="7" customFormat="1" ht="13.5" customHeight="1" x14ac:dyDescent="0.2">
      <c r="A21" s="1">
        <v>20</v>
      </c>
      <c r="B21" s="1">
        <v>1</v>
      </c>
      <c r="C21" s="1">
        <v>0</v>
      </c>
      <c r="D21" s="1">
        <v>16</v>
      </c>
      <c r="E21" s="1" t="s">
        <v>540</v>
      </c>
      <c r="F21" s="5" t="s">
        <v>44</v>
      </c>
      <c r="G21" s="5">
        <v>0</v>
      </c>
      <c r="H21" s="5">
        <v>1610</v>
      </c>
      <c r="I21" s="5">
        <v>0</v>
      </c>
      <c r="J21" s="5" t="s">
        <v>45</v>
      </c>
      <c r="K21" s="6">
        <v>-260599.62</v>
      </c>
      <c r="L21" s="83">
        <f>VLOOKUP(F21, [4]Export1!$B$9:$H$237,7,FALSE)</f>
        <v>-265889.40000000002</v>
      </c>
      <c r="M21" s="103">
        <f t="shared" si="0"/>
        <v>5289.7800000000279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3.5" customHeight="1" x14ac:dyDescent="0.2">
      <c r="A22" s="1">
        <v>21</v>
      </c>
      <c r="B22" s="1">
        <v>1</v>
      </c>
      <c r="C22" s="1">
        <v>0</v>
      </c>
      <c r="D22" s="1">
        <v>16</v>
      </c>
      <c r="E22" s="1" t="s">
        <v>540</v>
      </c>
      <c r="F22" s="5" t="s">
        <v>46</v>
      </c>
      <c r="G22" s="5">
        <v>0</v>
      </c>
      <c r="H22" s="5">
        <v>1620</v>
      </c>
      <c r="I22" s="5">
        <v>0</v>
      </c>
      <c r="J22" s="5" t="s">
        <v>47</v>
      </c>
      <c r="K22" s="6">
        <v>-50586.71</v>
      </c>
      <c r="L22" s="83">
        <f>VLOOKUP(F22, [4]Export1!$B$9:$H$237,7,FALSE)</f>
        <v>-51761.31</v>
      </c>
      <c r="M22" s="103">
        <f t="shared" si="0"/>
        <v>1174.5999999999985</v>
      </c>
    </row>
    <row r="23" spans="1:28" s="7" customFormat="1" ht="13.5" customHeight="1" x14ac:dyDescent="0.2">
      <c r="A23" s="1">
        <v>22</v>
      </c>
      <c r="B23" s="1">
        <v>1</v>
      </c>
      <c r="C23" s="1">
        <v>0</v>
      </c>
      <c r="D23" s="1">
        <v>16</v>
      </c>
      <c r="E23" s="1" t="s">
        <v>540</v>
      </c>
      <c r="F23" s="5" t="s">
        <v>48</v>
      </c>
      <c r="G23" s="5">
        <v>0</v>
      </c>
      <c r="H23" s="5">
        <v>1630</v>
      </c>
      <c r="I23" s="5">
        <v>0</v>
      </c>
      <c r="J23" s="5" t="s">
        <v>49</v>
      </c>
      <c r="K23" s="6">
        <v>-277187.64</v>
      </c>
      <c r="L23" s="83">
        <f>VLOOKUP(F23, [4]Export1!$B$9:$H$237,7,FALSE)</f>
        <v>-279162.55</v>
      </c>
      <c r="M23" s="103">
        <f t="shared" si="0"/>
        <v>1974.9099999999744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s="7" customFormat="1" ht="13.5" customHeight="1" x14ac:dyDescent="0.2">
      <c r="A24" s="1">
        <v>23</v>
      </c>
      <c r="B24" s="1">
        <v>1</v>
      </c>
      <c r="C24" s="1">
        <v>0</v>
      </c>
      <c r="D24" s="1">
        <v>16</v>
      </c>
      <c r="E24" s="1" t="s">
        <v>540</v>
      </c>
      <c r="F24" s="5" t="s">
        <v>50</v>
      </c>
      <c r="G24" s="5">
        <v>0</v>
      </c>
      <c r="H24" s="5">
        <v>1640</v>
      </c>
      <c r="I24" s="5">
        <v>0</v>
      </c>
      <c r="J24" s="5" t="s">
        <v>51</v>
      </c>
      <c r="K24" s="6">
        <v>-15757.44</v>
      </c>
      <c r="L24" s="83">
        <f>VLOOKUP(F24, [4]Export1!$B$9:$H$237,7,FALSE)</f>
        <v>-17478.490000000002</v>
      </c>
      <c r="M24" s="103">
        <f t="shared" si="0"/>
        <v>1721.0500000000011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7" customFormat="1" ht="13.5" customHeight="1" x14ac:dyDescent="0.2">
      <c r="A25" s="1">
        <v>24</v>
      </c>
      <c r="B25" s="1">
        <v>2</v>
      </c>
      <c r="C25" s="1">
        <v>0</v>
      </c>
      <c r="D25" s="1">
        <v>20</v>
      </c>
      <c r="E25" s="1" t="s">
        <v>52</v>
      </c>
      <c r="F25" s="5" t="s">
        <v>53</v>
      </c>
      <c r="G25" s="5">
        <v>0</v>
      </c>
      <c r="H25" s="5">
        <v>2000</v>
      </c>
      <c r="I25" s="5">
        <v>0</v>
      </c>
      <c r="J25" s="5" t="s">
        <v>54</v>
      </c>
      <c r="K25" s="6">
        <v>-95237.2</v>
      </c>
      <c r="L25" s="83">
        <f>VLOOKUP(F25, [4]Export1!$B$9:$H$237,7,FALSE)</f>
        <v>-47796.59</v>
      </c>
      <c r="M25" s="103">
        <f t="shared" si="0"/>
        <v>-47440.61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s="7" customFormat="1" ht="13.5" customHeight="1" x14ac:dyDescent="0.2">
      <c r="A26" s="1">
        <v>25</v>
      </c>
      <c r="B26" s="1">
        <v>2</v>
      </c>
      <c r="C26" s="1">
        <v>0</v>
      </c>
      <c r="D26" s="1">
        <v>20</v>
      </c>
      <c r="E26" s="1" t="s">
        <v>52</v>
      </c>
      <c r="F26" s="5" t="s">
        <v>56</v>
      </c>
      <c r="G26" s="5">
        <v>0</v>
      </c>
      <c r="H26" s="5">
        <v>2003</v>
      </c>
      <c r="I26" s="5">
        <v>0</v>
      </c>
      <c r="J26" s="5" t="s">
        <v>57</v>
      </c>
      <c r="K26" s="6">
        <v>-1273.79</v>
      </c>
      <c r="L26" s="83">
        <f>VLOOKUP(F26, [4]Export1!$B$9:$H$237,7,FALSE)</f>
        <v>0</v>
      </c>
      <c r="M26" s="103">
        <f t="shared" si="0"/>
        <v>-1273.79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s="7" customFormat="1" ht="13.5" customHeight="1" x14ac:dyDescent="0.2">
      <c r="A27" s="1">
        <v>26</v>
      </c>
      <c r="B27" s="1">
        <v>2</v>
      </c>
      <c r="C27" s="1">
        <v>0</v>
      </c>
      <c r="D27" s="1">
        <v>20</v>
      </c>
      <c r="E27" s="1" t="s">
        <v>52</v>
      </c>
      <c r="F27" s="5" t="s">
        <v>58</v>
      </c>
      <c r="G27" s="5">
        <v>0</v>
      </c>
      <c r="H27" s="5">
        <v>2005</v>
      </c>
      <c r="I27" s="5">
        <v>0</v>
      </c>
      <c r="J27" s="5" t="s">
        <v>59</v>
      </c>
      <c r="K27" s="6">
        <v>-17405.5</v>
      </c>
      <c r="L27" s="83">
        <f>VLOOKUP(F27, [4]Export1!$B$9:$H$237,7,FALSE)</f>
        <v>-56995</v>
      </c>
      <c r="M27" s="103">
        <f t="shared" si="0"/>
        <v>39589.5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s="7" customFormat="1" ht="13.5" customHeight="1" x14ac:dyDescent="0.2">
      <c r="A28" s="1">
        <v>27</v>
      </c>
      <c r="B28" s="1">
        <v>2</v>
      </c>
      <c r="C28" s="1">
        <v>0</v>
      </c>
      <c r="D28" s="1">
        <v>21</v>
      </c>
      <c r="E28" s="1" t="s">
        <v>55</v>
      </c>
      <c r="F28" s="5" t="s">
        <v>60</v>
      </c>
      <c r="G28" s="5">
        <v>0</v>
      </c>
      <c r="H28" s="5">
        <v>2006</v>
      </c>
      <c r="I28" s="5">
        <v>0</v>
      </c>
      <c r="J28" s="5" t="s">
        <v>61</v>
      </c>
      <c r="K28" s="6">
        <v>-157404.1</v>
      </c>
      <c r="L28" s="83">
        <f>VLOOKUP(F28, [4]Export1!$B$9:$H$237,7,FALSE)</f>
        <v>-49601.41</v>
      </c>
      <c r="M28" s="103">
        <f t="shared" si="0"/>
        <v>-107802.69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s="7" customFormat="1" ht="13.5" customHeight="1" x14ac:dyDescent="0.2">
      <c r="A29" s="1">
        <v>28</v>
      </c>
      <c r="B29" s="1">
        <v>2</v>
      </c>
      <c r="C29" s="1">
        <v>0</v>
      </c>
      <c r="D29" s="1">
        <v>21</v>
      </c>
      <c r="E29" s="1" t="s">
        <v>55</v>
      </c>
      <c r="F29" s="5" t="s">
        <v>62</v>
      </c>
      <c r="G29" s="5">
        <v>0</v>
      </c>
      <c r="H29" s="5">
        <v>2080</v>
      </c>
      <c r="I29" s="5">
        <v>0</v>
      </c>
      <c r="J29" s="5" t="s">
        <v>63</v>
      </c>
      <c r="K29" s="6">
        <v>-5781.24</v>
      </c>
      <c r="L29" s="83">
        <f>VLOOKUP(F29, [4]Export1!$B$9:$H$237,7,FALSE)</f>
        <v>0</v>
      </c>
      <c r="M29" s="103">
        <f t="shared" si="0"/>
        <v>-5781.24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s="7" customFormat="1" ht="13.5" customHeight="1" x14ac:dyDescent="0.2">
      <c r="A30" s="1">
        <v>29</v>
      </c>
      <c r="B30" s="1">
        <v>2</v>
      </c>
      <c r="C30" s="1">
        <v>0</v>
      </c>
      <c r="D30" s="1">
        <v>21</v>
      </c>
      <c r="E30" s="1" t="s">
        <v>55</v>
      </c>
      <c r="F30" s="5" t="s">
        <v>64</v>
      </c>
      <c r="G30" s="5">
        <v>0</v>
      </c>
      <c r="H30" s="5">
        <v>2085</v>
      </c>
      <c r="I30" s="5">
        <v>0</v>
      </c>
      <c r="J30" s="5" t="s">
        <v>65</v>
      </c>
      <c r="K30" s="6">
        <v>-7902.96</v>
      </c>
      <c r="L30" s="83">
        <f>VLOOKUP(F30, [4]Export1!$B$9:$H$237,7,FALSE)</f>
        <v>0</v>
      </c>
      <c r="M30" s="103">
        <f t="shared" si="0"/>
        <v>-7902.96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s="7" customFormat="1" ht="13.5" customHeight="1" x14ac:dyDescent="0.2">
      <c r="A31" s="1">
        <v>30</v>
      </c>
      <c r="B31" s="1">
        <v>2</v>
      </c>
      <c r="C31" s="1">
        <v>0</v>
      </c>
      <c r="D31" s="1">
        <v>21</v>
      </c>
      <c r="E31" s="1" t="s">
        <v>55</v>
      </c>
      <c r="F31" s="5" t="s">
        <v>66</v>
      </c>
      <c r="G31" s="5">
        <v>0</v>
      </c>
      <c r="H31" s="5">
        <v>2100</v>
      </c>
      <c r="I31" s="5">
        <v>0</v>
      </c>
      <c r="J31" s="5" t="s">
        <v>67</v>
      </c>
      <c r="K31" s="6">
        <v>-2101.46</v>
      </c>
      <c r="L31" s="83">
        <f>VLOOKUP(F31, [4]Export1!$B$9:$H$237,7,FALSE)</f>
        <v>0</v>
      </c>
      <c r="M31" s="103">
        <f t="shared" si="0"/>
        <v>-2101.46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s="7" customFormat="1" ht="13.5" customHeight="1" x14ac:dyDescent="0.2">
      <c r="A32" s="1">
        <v>31</v>
      </c>
      <c r="B32" s="1">
        <v>2</v>
      </c>
      <c r="C32" s="1">
        <v>0</v>
      </c>
      <c r="D32" s="1">
        <v>21</v>
      </c>
      <c r="E32" s="1" t="s">
        <v>55</v>
      </c>
      <c r="F32" s="5" t="s">
        <v>68</v>
      </c>
      <c r="G32" s="5">
        <v>0</v>
      </c>
      <c r="H32" s="5">
        <v>2110</v>
      </c>
      <c r="I32" s="5">
        <v>0</v>
      </c>
      <c r="J32" s="5" t="s">
        <v>69</v>
      </c>
      <c r="K32" s="6">
        <v>-42172.25</v>
      </c>
      <c r="L32" s="83">
        <f>VLOOKUP(F32, [4]Export1!$B$9:$H$237,7,FALSE)</f>
        <v>-42172.25</v>
      </c>
      <c r="M32" s="103">
        <f t="shared" si="0"/>
        <v>0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s="7" customFormat="1" ht="13.5" customHeight="1" x14ac:dyDescent="0.2">
      <c r="A33" s="1">
        <v>32</v>
      </c>
      <c r="B33" s="1">
        <v>2</v>
      </c>
      <c r="C33" s="1">
        <v>0</v>
      </c>
      <c r="D33" s="1">
        <v>21</v>
      </c>
      <c r="E33" s="1" t="s">
        <v>55</v>
      </c>
      <c r="F33" s="5" t="s">
        <v>70</v>
      </c>
      <c r="G33" s="5">
        <v>0</v>
      </c>
      <c r="H33" s="5">
        <v>2115</v>
      </c>
      <c r="I33" s="5">
        <v>0</v>
      </c>
      <c r="J33" s="5" t="s">
        <v>71</v>
      </c>
      <c r="K33" s="6">
        <v>1946.56</v>
      </c>
      <c r="L33" s="83">
        <f>VLOOKUP(F33, [4]Export1!$B$9:$H$237,7,FALSE)</f>
        <v>-2458.5300000000002</v>
      </c>
      <c r="M33" s="103">
        <f t="shared" si="0"/>
        <v>4405.09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s="7" customFormat="1" ht="13.5" customHeight="1" x14ac:dyDescent="0.2">
      <c r="A34" s="1">
        <v>33</v>
      </c>
      <c r="B34" s="1">
        <v>2</v>
      </c>
      <c r="C34" s="1">
        <v>0</v>
      </c>
      <c r="D34" s="1">
        <v>22</v>
      </c>
      <c r="E34" s="1" t="s">
        <v>72</v>
      </c>
      <c r="F34" s="5" t="s">
        <v>73</v>
      </c>
      <c r="G34" s="5">
        <v>0</v>
      </c>
      <c r="H34" s="5">
        <v>2200</v>
      </c>
      <c r="I34" s="5">
        <v>0</v>
      </c>
      <c r="J34" s="5" t="s">
        <v>72</v>
      </c>
      <c r="K34" s="6">
        <v>-142962.5</v>
      </c>
      <c r="L34" s="83">
        <f>VLOOKUP(F34, [4]Export1!$B$9:$H$237,7,FALSE)</f>
        <v>-126729.25</v>
      </c>
      <c r="M34" s="103">
        <f t="shared" si="0"/>
        <v>-16233.25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s="7" customFormat="1" ht="13.5" customHeight="1" x14ac:dyDescent="0.2">
      <c r="A35" s="1">
        <v>34</v>
      </c>
      <c r="B35" s="1">
        <v>2</v>
      </c>
      <c r="C35" s="1">
        <v>0</v>
      </c>
      <c r="D35" s="1">
        <v>23</v>
      </c>
      <c r="E35" s="1" t="s">
        <v>74</v>
      </c>
      <c r="F35" s="5" t="s">
        <v>75</v>
      </c>
      <c r="G35" s="5">
        <v>0</v>
      </c>
      <c r="H35" s="5">
        <v>2250</v>
      </c>
      <c r="I35" s="5">
        <v>0</v>
      </c>
      <c r="J35" s="5" t="s">
        <v>74</v>
      </c>
      <c r="K35" s="6">
        <v>-126193.36</v>
      </c>
      <c r="L35" s="83">
        <f>VLOOKUP(F35, [4]Export1!$B$9:$H$237,7,FALSE)</f>
        <v>-112585</v>
      </c>
      <c r="M35" s="103">
        <f t="shared" si="0"/>
        <v>-13608.36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s="7" customFormat="1" ht="13.5" customHeight="1" x14ac:dyDescent="0.2">
      <c r="A36" s="1">
        <v>35</v>
      </c>
      <c r="B36" s="1">
        <v>3</v>
      </c>
      <c r="C36" s="1">
        <v>0</v>
      </c>
      <c r="D36" s="1">
        <v>30</v>
      </c>
      <c r="E36" s="1" t="s">
        <v>76</v>
      </c>
      <c r="F36" s="5" t="s">
        <v>77</v>
      </c>
      <c r="G36" s="5">
        <v>0</v>
      </c>
      <c r="H36" s="5">
        <v>2900</v>
      </c>
      <c r="I36" s="5">
        <v>0</v>
      </c>
      <c r="J36" s="5" t="s">
        <v>76</v>
      </c>
      <c r="K36" s="6">
        <v>-2142863.6800000002</v>
      </c>
      <c r="L36" s="83">
        <f>VLOOKUP(F36, [4]Export1!$B$9:$H$237,7,FALSE)</f>
        <v>-1826914.54</v>
      </c>
      <c r="M36" s="103">
        <f t="shared" si="0"/>
        <v>-315949.14000000013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s="7" customFormat="1" ht="13.5" customHeight="1" x14ac:dyDescent="0.2">
      <c r="A37" s="1">
        <v>37</v>
      </c>
      <c r="B37" s="1">
        <v>4</v>
      </c>
      <c r="C37" s="1">
        <v>10</v>
      </c>
      <c r="D37" s="1">
        <v>40</v>
      </c>
      <c r="E37" s="1" t="s">
        <v>541</v>
      </c>
      <c r="F37" s="5" t="s">
        <v>86</v>
      </c>
      <c r="G37" s="5">
        <v>0</v>
      </c>
      <c r="H37" s="5">
        <v>3000</v>
      </c>
      <c r="I37" s="5">
        <v>0</v>
      </c>
      <c r="J37" s="5" t="s">
        <v>87</v>
      </c>
      <c r="K37" s="6">
        <v>-1004000</v>
      </c>
      <c r="L37" s="83">
        <f>VLOOKUP(F37, [4]Export1!$B$9:$H$237,7,FALSE)</f>
        <v>-875000</v>
      </c>
      <c r="M37" s="103">
        <f t="shared" si="0"/>
        <v>-129000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3.5" customHeight="1" x14ac:dyDescent="0.2">
      <c r="A38" s="1">
        <v>131</v>
      </c>
      <c r="B38" s="1">
        <v>4</v>
      </c>
      <c r="C38" s="1">
        <v>0</v>
      </c>
      <c r="D38" s="1">
        <v>40</v>
      </c>
      <c r="E38" s="1" t="s">
        <v>541</v>
      </c>
      <c r="F38" s="5" t="s">
        <v>371</v>
      </c>
      <c r="G38" s="5">
        <v>20</v>
      </c>
      <c r="H38" s="5">
        <v>3000</v>
      </c>
      <c r="I38" s="5">
        <v>0</v>
      </c>
      <c r="J38" s="5" t="s">
        <v>372</v>
      </c>
      <c r="K38" s="6"/>
      <c r="L38" s="83">
        <f>VLOOKUP(F38, [4]Export1!$B$9:$H$237,7,FALSE)</f>
        <v>-200000</v>
      </c>
      <c r="M38" s="103">
        <f t="shared" si="0"/>
        <v>200000</v>
      </c>
    </row>
    <row r="39" spans="1:28" ht="13.5" customHeight="1" x14ac:dyDescent="0.2">
      <c r="A39" s="1">
        <v>210</v>
      </c>
      <c r="B39" s="1">
        <v>4</v>
      </c>
      <c r="C39" s="1">
        <v>0</v>
      </c>
      <c r="D39" s="1">
        <v>40</v>
      </c>
      <c r="E39" s="1" t="s">
        <v>541</v>
      </c>
      <c r="F39" s="5" t="s">
        <v>385</v>
      </c>
      <c r="G39" s="5">
        <v>36</v>
      </c>
      <c r="H39" s="5">
        <v>3000</v>
      </c>
      <c r="I39" s="5">
        <v>0</v>
      </c>
      <c r="J39" s="5" t="s">
        <v>372</v>
      </c>
      <c r="K39" s="6"/>
      <c r="L39" s="83">
        <f>VLOOKUP(F39, [4]Export1!$B$9:$H$237,7,FALSE)</f>
        <v>-120000</v>
      </c>
      <c r="M39" s="103">
        <f t="shared" si="0"/>
        <v>120000</v>
      </c>
    </row>
    <row r="40" spans="1:28" ht="13.5" customHeight="1" x14ac:dyDescent="0.2">
      <c r="A40" s="1">
        <v>259</v>
      </c>
      <c r="B40" s="1">
        <v>4</v>
      </c>
      <c r="C40" s="1">
        <v>0</v>
      </c>
      <c r="D40" s="1">
        <v>40</v>
      </c>
      <c r="E40" s="1" t="s">
        <v>541</v>
      </c>
      <c r="F40" s="5" t="s">
        <v>393</v>
      </c>
      <c r="G40" s="5">
        <v>60</v>
      </c>
      <c r="H40" s="5">
        <v>3000</v>
      </c>
      <c r="I40" s="5">
        <v>0</v>
      </c>
      <c r="J40" s="5" t="s">
        <v>372</v>
      </c>
      <c r="K40" s="6"/>
      <c r="L40" s="83">
        <f>VLOOKUP(F40, [4]Export1!$B$9:$H$237,7,FALSE)</f>
        <v>-180000</v>
      </c>
      <c r="M40" s="103">
        <f t="shared" si="0"/>
        <v>180000</v>
      </c>
    </row>
    <row r="41" spans="1:28" s="7" customFormat="1" ht="13.5" customHeight="1" x14ac:dyDescent="0.2">
      <c r="A41" s="1">
        <v>38</v>
      </c>
      <c r="B41" s="1">
        <v>4</v>
      </c>
      <c r="C41" s="1">
        <v>10</v>
      </c>
      <c r="D41" s="1">
        <v>41</v>
      </c>
      <c r="E41" s="1" t="s">
        <v>99</v>
      </c>
      <c r="F41" s="5" t="s">
        <v>98</v>
      </c>
      <c r="G41" s="5">
        <v>0</v>
      </c>
      <c r="H41" s="5">
        <v>3300</v>
      </c>
      <c r="I41" s="5">
        <v>0</v>
      </c>
      <c r="J41" s="5" t="s">
        <v>99</v>
      </c>
      <c r="K41" s="6">
        <v>-8000</v>
      </c>
      <c r="L41" s="83">
        <f>VLOOKUP(F41, [4]Export1!$B$9:$H$237,7,FALSE)</f>
        <v>-9000</v>
      </c>
      <c r="M41" s="103">
        <f t="shared" si="0"/>
        <v>1000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3.5" customHeight="1" x14ac:dyDescent="0.2">
      <c r="A42" s="1">
        <v>39</v>
      </c>
      <c r="B42" s="1">
        <v>4</v>
      </c>
      <c r="C42" s="1">
        <v>10</v>
      </c>
      <c r="D42" s="1">
        <v>41</v>
      </c>
      <c r="E42" s="1" t="s">
        <v>103</v>
      </c>
      <c r="F42" s="5" t="s">
        <v>102</v>
      </c>
      <c r="G42" s="5">
        <v>0</v>
      </c>
      <c r="H42" s="5">
        <v>4000</v>
      </c>
      <c r="I42" s="5">
        <v>0</v>
      </c>
      <c r="J42" s="5" t="s">
        <v>103</v>
      </c>
      <c r="K42" s="6">
        <v>-157500</v>
      </c>
      <c r="L42" s="83">
        <v>0</v>
      </c>
      <c r="M42" s="103">
        <f t="shared" si="0"/>
        <v>-157500</v>
      </c>
    </row>
    <row r="43" spans="1:28" ht="13.5" customHeight="1" x14ac:dyDescent="0.2">
      <c r="A43" s="1">
        <v>40</v>
      </c>
      <c r="B43" s="1">
        <v>4</v>
      </c>
      <c r="C43" s="1">
        <v>10</v>
      </c>
      <c r="D43" s="1">
        <v>42</v>
      </c>
      <c r="E43" s="1" t="s">
        <v>78</v>
      </c>
      <c r="F43" s="5" t="s">
        <v>79</v>
      </c>
      <c r="G43" s="5">
        <v>0</v>
      </c>
      <c r="H43" s="5">
        <v>4020</v>
      </c>
      <c r="I43" s="5">
        <v>0</v>
      </c>
      <c r="J43" s="5" t="s">
        <v>80</v>
      </c>
      <c r="K43" s="6">
        <v>-34248</v>
      </c>
      <c r="L43" s="83">
        <v>0</v>
      </c>
      <c r="M43" s="103">
        <f t="shared" si="0"/>
        <v>-34248</v>
      </c>
    </row>
    <row r="44" spans="1:28" ht="13.5" customHeight="1" x14ac:dyDescent="0.2">
      <c r="A44" s="1">
        <v>73</v>
      </c>
      <c r="B44" s="1">
        <v>4</v>
      </c>
      <c r="C44" s="1">
        <v>0</v>
      </c>
      <c r="D44" s="1">
        <v>42</v>
      </c>
      <c r="E44" s="1" t="s">
        <v>78</v>
      </c>
      <c r="F44" s="5" t="s">
        <v>81</v>
      </c>
      <c r="G44" s="5">
        <v>10</v>
      </c>
      <c r="H44" s="5">
        <v>4020</v>
      </c>
      <c r="I44" s="5">
        <v>0</v>
      </c>
      <c r="J44" s="5" t="s">
        <v>80</v>
      </c>
      <c r="K44" s="6"/>
      <c r="L44" s="83">
        <v>0</v>
      </c>
      <c r="M44" s="103">
        <f t="shared" si="0"/>
        <v>0</v>
      </c>
    </row>
    <row r="45" spans="1:28" ht="13.5" customHeight="1" x14ac:dyDescent="0.2">
      <c r="A45" s="1">
        <v>182</v>
      </c>
      <c r="B45" s="1">
        <v>4</v>
      </c>
      <c r="C45" s="1">
        <v>35</v>
      </c>
      <c r="D45" s="1">
        <v>42</v>
      </c>
      <c r="E45" s="1" t="s">
        <v>78</v>
      </c>
      <c r="F45" s="5" t="s">
        <v>82</v>
      </c>
      <c r="G45" s="5">
        <v>35</v>
      </c>
      <c r="H45" s="5">
        <v>4020</v>
      </c>
      <c r="I45" s="5">
        <v>0</v>
      </c>
      <c r="J45" s="5" t="s">
        <v>80</v>
      </c>
      <c r="K45" s="6">
        <v>-138255</v>
      </c>
      <c r="L45" s="83">
        <f>VLOOKUP(F45, [4]Export1!$B$9:$H$237,7,FALSE)</f>
        <v>-220007.73</v>
      </c>
      <c r="M45" s="103">
        <f t="shared" si="0"/>
        <v>81752.73000000001</v>
      </c>
    </row>
    <row r="46" spans="1:28" ht="13.5" customHeight="1" x14ac:dyDescent="0.2">
      <c r="A46" s="1">
        <v>57</v>
      </c>
      <c r="B46" s="1">
        <v>4</v>
      </c>
      <c r="C46" s="1">
        <v>80</v>
      </c>
      <c r="D46" s="1">
        <v>47</v>
      </c>
      <c r="E46" s="1" t="s">
        <v>90</v>
      </c>
      <c r="F46" s="5" t="s">
        <v>93</v>
      </c>
      <c r="G46" s="5">
        <v>5</v>
      </c>
      <c r="H46" s="5">
        <v>4021</v>
      </c>
      <c r="I46" s="5">
        <v>0</v>
      </c>
      <c r="J46" s="5" t="s">
        <v>94</v>
      </c>
      <c r="K46" s="6">
        <v>-62036.73</v>
      </c>
      <c r="L46" s="83">
        <v>0</v>
      </c>
      <c r="M46" s="103">
        <f t="shared" si="0"/>
        <v>-62036.73</v>
      </c>
    </row>
    <row r="47" spans="1:28" ht="13.5" customHeight="1" x14ac:dyDescent="0.2">
      <c r="A47" s="1">
        <v>233</v>
      </c>
      <c r="B47" s="1">
        <v>4</v>
      </c>
      <c r="C47" s="1">
        <v>37</v>
      </c>
      <c r="D47" s="1">
        <v>45</v>
      </c>
      <c r="E47" s="1" t="s">
        <v>83</v>
      </c>
      <c r="F47" s="88" t="s">
        <v>564</v>
      </c>
      <c r="G47" s="88">
        <v>37</v>
      </c>
      <c r="H47" s="88">
        <v>4024</v>
      </c>
      <c r="I47" s="5">
        <v>0</v>
      </c>
      <c r="J47" s="5" t="s">
        <v>574</v>
      </c>
      <c r="K47" s="6"/>
      <c r="L47" s="83">
        <f>VLOOKUP(F47, [4]Export1!$B$9:$H$237,7,FALSE)</f>
        <v>-30000</v>
      </c>
      <c r="M47" s="103">
        <f t="shared" si="0"/>
        <v>30000</v>
      </c>
    </row>
    <row r="48" spans="1:28" ht="13.5" customHeight="1" x14ac:dyDescent="0.2">
      <c r="A48" s="1">
        <v>41</v>
      </c>
      <c r="B48" s="1">
        <v>4</v>
      </c>
      <c r="C48" s="1">
        <v>0</v>
      </c>
      <c r="D48" s="1">
        <v>41</v>
      </c>
      <c r="E48" s="1" t="s">
        <v>92</v>
      </c>
      <c r="F48" s="5" t="s">
        <v>91</v>
      </c>
      <c r="G48" s="5">
        <v>0</v>
      </c>
      <c r="H48" s="5">
        <v>4025</v>
      </c>
      <c r="I48" s="5">
        <v>0</v>
      </c>
      <c r="J48" s="5" t="s">
        <v>92</v>
      </c>
      <c r="K48" s="6"/>
      <c r="L48" s="83">
        <f>VLOOKUP(F48, [4]Export1!$B$9:$H$237,7,FALSE)</f>
        <v>-7000</v>
      </c>
      <c r="M48" s="103">
        <f t="shared" si="0"/>
        <v>7000</v>
      </c>
    </row>
    <row r="49" spans="1:28" ht="13.5" customHeight="1" x14ac:dyDescent="0.2">
      <c r="A49" s="1">
        <v>42</v>
      </c>
      <c r="B49" s="1">
        <v>4</v>
      </c>
      <c r="C49" s="1">
        <v>0</v>
      </c>
      <c r="D49" s="1">
        <v>41</v>
      </c>
      <c r="E49" s="1" t="s">
        <v>366</v>
      </c>
      <c r="F49" s="5" t="s">
        <v>365</v>
      </c>
      <c r="G49" s="5">
        <v>0</v>
      </c>
      <c r="H49" s="5">
        <v>4040</v>
      </c>
      <c r="I49" s="5">
        <v>0</v>
      </c>
      <c r="J49" s="5" t="s">
        <v>366</v>
      </c>
      <c r="K49" s="6"/>
      <c r="L49" s="83">
        <f>VLOOKUP(F49, [4]Export1!$B$9:$H$237,7,FALSE)</f>
        <v>-11900</v>
      </c>
      <c r="M49" s="103">
        <f t="shared" si="0"/>
        <v>11900</v>
      </c>
    </row>
    <row r="50" spans="1:28" ht="13.5" customHeight="1" x14ac:dyDescent="0.2">
      <c r="A50" s="1">
        <v>43</v>
      </c>
      <c r="B50" s="1">
        <v>4</v>
      </c>
      <c r="C50" s="1">
        <v>10</v>
      </c>
      <c r="D50" s="1">
        <v>41</v>
      </c>
      <c r="E50" s="1" t="s">
        <v>101</v>
      </c>
      <c r="F50" s="5" t="s">
        <v>100</v>
      </c>
      <c r="G50" s="5">
        <v>0</v>
      </c>
      <c r="H50" s="5">
        <v>4050</v>
      </c>
      <c r="I50" s="5">
        <v>0</v>
      </c>
      <c r="J50" s="5" t="s">
        <v>101</v>
      </c>
      <c r="K50" s="6">
        <v>-50000</v>
      </c>
      <c r="L50" s="83">
        <f>VLOOKUP(F50, [4]Export1!$B$9:$H$237,7,FALSE)</f>
        <v>-25000</v>
      </c>
      <c r="M50" s="103">
        <f t="shared" si="0"/>
        <v>-25000</v>
      </c>
    </row>
    <row r="51" spans="1:28" ht="13.5" customHeight="1" x14ac:dyDescent="0.2">
      <c r="A51" s="1">
        <v>44</v>
      </c>
      <c r="B51" s="1">
        <v>4</v>
      </c>
      <c r="C51" s="1">
        <v>10</v>
      </c>
      <c r="D51" s="1">
        <v>41</v>
      </c>
      <c r="E51" s="1" t="s">
        <v>120</v>
      </c>
      <c r="F51" s="5" t="s">
        <v>119</v>
      </c>
      <c r="G51" s="5">
        <v>0</v>
      </c>
      <c r="H51" s="5">
        <v>4080</v>
      </c>
      <c r="I51" s="5">
        <v>0</v>
      </c>
      <c r="J51" s="5" t="s">
        <v>120</v>
      </c>
      <c r="K51" s="6">
        <v>-2838000</v>
      </c>
      <c r="L51" s="83">
        <f>VLOOKUP(F51, [4]Export1!$B$9:$H$237,7,FALSE)</f>
        <v>-1300000</v>
      </c>
      <c r="M51" s="103">
        <f t="shared" si="0"/>
        <v>-1538000</v>
      </c>
    </row>
    <row r="52" spans="1:28" ht="13.5" customHeight="1" x14ac:dyDescent="0.2">
      <c r="A52" s="1">
        <v>45</v>
      </c>
      <c r="B52" s="1">
        <v>4</v>
      </c>
      <c r="C52" s="1">
        <v>11</v>
      </c>
      <c r="D52" s="1">
        <v>48</v>
      </c>
      <c r="E52" s="1" t="s">
        <v>542</v>
      </c>
      <c r="F52" s="5" t="s">
        <v>88</v>
      </c>
      <c r="G52" s="5">
        <v>0</v>
      </c>
      <c r="H52" s="5">
        <v>4100</v>
      </c>
      <c r="I52" s="5">
        <v>0</v>
      </c>
      <c r="J52" s="5" t="s">
        <v>89</v>
      </c>
      <c r="K52" s="6">
        <v>-168581</v>
      </c>
      <c r="L52" s="83">
        <v>0</v>
      </c>
      <c r="M52" s="103">
        <f t="shared" si="0"/>
        <v>-168581</v>
      </c>
    </row>
    <row r="53" spans="1:28" ht="13.5" customHeight="1" x14ac:dyDescent="0.2">
      <c r="A53" s="1">
        <v>127</v>
      </c>
      <c r="B53" s="1">
        <v>4</v>
      </c>
      <c r="C53" s="1">
        <v>0</v>
      </c>
      <c r="D53" s="1">
        <v>48</v>
      </c>
      <c r="E53" s="1" t="s">
        <v>542</v>
      </c>
      <c r="F53" s="5" t="s">
        <v>367</v>
      </c>
      <c r="G53" s="5">
        <v>11</v>
      </c>
      <c r="H53" s="5">
        <v>4100</v>
      </c>
      <c r="I53" s="5">
        <v>0</v>
      </c>
      <c r="J53" s="5" t="s">
        <v>368</v>
      </c>
      <c r="K53" s="6"/>
      <c r="L53" s="83">
        <f>VLOOKUP(F53, [4]Export1!$B$9:$H$237,7,FALSE)</f>
        <v>-147362.35999999999</v>
      </c>
      <c r="M53" s="103">
        <f t="shared" si="0"/>
        <v>147362.35999999999</v>
      </c>
    </row>
    <row r="54" spans="1:28" ht="13.5" customHeight="1" x14ac:dyDescent="0.2">
      <c r="A54" s="1">
        <v>46</v>
      </c>
      <c r="B54" s="1">
        <v>4</v>
      </c>
      <c r="C54" s="1">
        <v>10</v>
      </c>
      <c r="D54" s="1">
        <v>45</v>
      </c>
      <c r="E54" s="1" t="s">
        <v>85</v>
      </c>
      <c r="F54" s="5" t="s">
        <v>84</v>
      </c>
      <c r="G54" s="5">
        <v>0</v>
      </c>
      <c r="H54" s="5">
        <v>4165</v>
      </c>
      <c r="I54" s="5">
        <v>0</v>
      </c>
      <c r="J54" s="5" t="s">
        <v>85</v>
      </c>
      <c r="K54" s="6">
        <v>-10000</v>
      </c>
      <c r="L54" s="83">
        <v>0</v>
      </c>
      <c r="M54" s="103">
        <f t="shared" si="0"/>
        <v>-10000</v>
      </c>
    </row>
    <row r="55" spans="1:28" ht="13.5" customHeight="1" x14ac:dyDescent="0.2">
      <c r="A55" s="1">
        <v>47</v>
      </c>
      <c r="B55" s="1">
        <v>4</v>
      </c>
      <c r="C55" s="1">
        <v>10</v>
      </c>
      <c r="D55" s="1">
        <v>46</v>
      </c>
      <c r="E55" s="1" t="s">
        <v>95</v>
      </c>
      <c r="F55" s="5" t="s">
        <v>96</v>
      </c>
      <c r="G55" s="5">
        <v>0</v>
      </c>
      <c r="H55" s="5">
        <v>4300</v>
      </c>
      <c r="I55" s="5">
        <v>0</v>
      </c>
      <c r="J55" s="5" t="s">
        <v>97</v>
      </c>
      <c r="K55" s="6">
        <v>-2515.96</v>
      </c>
      <c r="L55" s="83">
        <f>VLOOKUP(F55, [4]Export1!$B$9:$H$237,7,FALSE)</f>
        <v>-2173.9899999999998</v>
      </c>
      <c r="M55" s="103">
        <f t="shared" si="0"/>
        <v>-341.97000000000025</v>
      </c>
    </row>
    <row r="56" spans="1:28" ht="13.5" customHeight="1" x14ac:dyDescent="0.2">
      <c r="A56" s="1">
        <v>279</v>
      </c>
      <c r="B56" s="1">
        <v>4</v>
      </c>
      <c r="C56" s="1">
        <v>80</v>
      </c>
      <c r="D56" s="1">
        <v>45</v>
      </c>
      <c r="E56" s="1" t="s">
        <v>83</v>
      </c>
      <c r="F56" s="5" t="s">
        <v>117</v>
      </c>
      <c r="G56" s="5">
        <v>80</v>
      </c>
      <c r="H56" s="5">
        <v>4310</v>
      </c>
      <c r="I56" s="5">
        <v>0</v>
      </c>
      <c r="J56" s="5" t="s">
        <v>116</v>
      </c>
      <c r="K56" s="6">
        <v>-105.37</v>
      </c>
      <c r="L56" s="83">
        <v>0</v>
      </c>
      <c r="M56" s="103">
        <f t="shared" si="0"/>
        <v>-105.37</v>
      </c>
    </row>
    <row r="57" spans="1:28" ht="13.5" customHeight="1" x14ac:dyDescent="0.2">
      <c r="A57" s="1">
        <v>286</v>
      </c>
      <c r="B57" s="1">
        <v>4</v>
      </c>
      <c r="C57" s="1">
        <v>80</v>
      </c>
      <c r="D57" s="1">
        <v>47</v>
      </c>
      <c r="E57" s="1" t="s">
        <v>90</v>
      </c>
      <c r="F57" s="5" t="s">
        <v>118</v>
      </c>
      <c r="G57" s="5">
        <v>119</v>
      </c>
      <c r="H57" s="5">
        <v>4310</v>
      </c>
      <c r="I57" s="5">
        <v>0</v>
      </c>
      <c r="J57" s="5" t="s">
        <v>116</v>
      </c>
      <c r="K57" s="6">
        <v>-17027.189999999999</v>
      </c>
      <c r="L57" s="83">
        <v>0</v>
      </c>
      <c r="M57" s="103">
        <f t="shared" si="0"/>
        <v>-17027.189999999999</v>
      </c>
    </row>
    <row r="58" spans="1:28" s="8" customFormat="1" ht="13.5" customHeight="1" x14ac:dyDescent="0.2">
      <c r="A58" s="1">
        <v>48</v>
      </c>
      <c r="B58" s="1">
        <v>4</v>
      </c>
      <c r="C58" s="1">
        <v>10</v>
      </c>
      <c r="D58" s="1">
        <v>45</v>
      </c>
      <c r="E58" s="1" t="s">
        <v>83</v>
      </c>
      <c r="F58" s="5" t="s">
        <v>104</v>
      </c>
      <c r="G58" s="5">
        <v>0</v>
      </c>
      <c r="H58" s="5">
        <v>4400</v>
      </c>
      <c r="I58" s="5">
        <v>0</v>
      </c>
      <c r="J58" s="5" t="s">
        <v>105</v>
      </c>
      <c r="K58" s="6">
        <v>-17260.02</v>
      </c>
      <c r="L58" s="83">
        <v>0</v>
      </c>
      <c r="M58" s="103">
        <f t="shared" si="0"/>
        <v>-17260.02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3.5" customHeight="1" x14ac:dyDescent="0.2">
      <c r="A59" s="1">
        <v>49</v>
      </c>
      <c r="B59" s="1">
        <v>4</v>
      </c>
      <c r="C59" s="1">
        <v>10</v>
      </c>
      <c r="D59" s="1">
        <v>45</v>
      </c>
      <c r="E59" s="1" t="s">
        <v>107</v>
      </c>
      <c r="F59" s="5" t="s">
        <v>110</v>
      </c>
      <c r="G59" s="5">
        <v>0</v>
      </c>
      <c r="H59" s="5">
        <v>4500</v>
      </c>
      <c r="I59" s="5">
        <v>0</v>
      </c>
      <c r="J59" s="5" t="s">
        <v>107</v>
      </c>
      <c r="K59" s="6">
        <v>-38895.51</v>
      </c>
      <c r="L59" s="83">
        <f>VLOOKUP(F59, [4]Export1!$B$9:$H$237,7,FALSE)</f>
        <v>-28575.759999999998</v>
      </c>
      <c r="M59" s="103">
        <f t="shared" si="0"/>
        <v>-10319.750000000004</v>
      </c>
    </row>
    <row r="60" spans="1:28" ht="13.5" customHeight="1" x14ac:dyDescent="0.2">
      <c r="A60" s="1">
        <v>58</v>
      </c>
      <c r="B60" s="1">
        <v>4</v>
      </c>
      <c r="C60" s="1">
        <v>80</v>
      </c>
      <c r="D60" s="1">
        <v>45</v>
      </c>
      <c r="E60" s="1" t="s">
        <v>107</v>
      </c>
      <c r="F60" s="5" t="s">
        <v>108</v>
      </c>
      <c r="G60" s="5">
        <v>5</v>
      </c>
      <c r="H60" s="5">
        <v>4500</v>
      </c>
      <c r="I60" s="5">
        <v>0</v>
      </c>
      <c r="J60" s="5" t="s">
        <v>107</v>
      </c>
      <c r="K60" s="6">
        <v>-95.4</v>
      </c>
      <c r="L60" s="83">
        <v>0</v>
      </c>
      <c r="M60" s="103">
        <f t="shared" si="0"/>
        <v>-95.4</v>
      </c>
    </row>
    <row r="61" spans="1:28" ht="13.5" customHeight="1" x14ac:dyDescent="0.2">
      <c r="A61" s="1">
        <v>260</v>
      </c>
      <c r="B61" s="1">
        <v>4</v>
      </c>
      <c r="C61" s="1">
        <v>60</v>
      </c>
      <c r="D61" s="1">
        <v>45</v>
      </c>
      <c r="E61" s="1" t="s">
        <v>107</v>
      </c>
      <c r="F61" s="5" t="s">
        <v>106</v>
      </c>
      <c r="G61" s="5">
        <v>60</v>
      </c>
      <c r="H61" s="5">
        <v>4500</v>
      </c>
      <c r="I61" s="5">
        <v>0</v>
      </c>
      <c r="J61" s="5" t="s">
        <v>107</v>
      </c>
      <c r="K61" s="6">
        <v>-2325.4</v>
      </c>
      <c r="L61" s="83">
        <v>0</v>
      </c>
      <c r="M61" s="103">
        <f t="shared" si="0"/>
        <v>-2325.4</v>
      </c>
    </row>
    <row r="62" spans="1:28" ht="13.5" customHeight="1" x14ac:dyDescent="0.2">
      <c r="A62" s="1">
        <v>280</v>
      </c>
      <c r="B62" s="1">
        <v>4</v>
      </c>
      <c r="C62" s="1">
        <v>80</v>
      </c>
      <c r="D62" s="1">
        <v>45</v>
      </c>
      <c r="E62" s="1" t="s">
        <v>107</v>
      </c>
      <c r="F62" s="5" t="s">
        <v>109</v>
      </c>
      <c r="G62" s="5">
        <v>80</v>
      </c>
      <c r="H62" s="5">
        <v>4500</v>
      </c>
      <c r="I62" s="5">
        <v>0</v>
      </c>
      <c r="J62" s="5" t="s">
        <v>107</v>
      </c>
      <c r="K62" s="6">
        <v>-78.5</v>
      </c>
      <c r="L62" s="83">
        <v>0</v>
      </c>
      <c r="M62" s="103">
        <f t="shared" si="0"/>
        <v>-78.5</v>
      </c>
    </row>
    <row r="63" spans="1:28" ht="13.5" customHeight="1" x14ac:dyDescent="0.2">
      <c r="A63" s="1">
        <v>50</v>
      </c>
      <c r="B63" s="1">
        <v>4</v>
      </c>
      <c r="C63" s="1">
        <v>10</v>
      </c>
      <c r="D63" s="1">
        <v>47</v>
      </c>
      <c r="E63" s="1" t="s">
        <v>90</v>
      </c>
      <c r="F63" s="5" t="s">
        <v>121</v>
      </c>
      <c r="G63" s="5">
        <v>0</v>
      </c>
      <c r="H63" s="5">
        <v>4540</v>
      </c>
      <c r="I63" s="5">
        <v>0</v>
      </c>
      <c r="J63" s="5" t="s">
        <v>122</v>
      </c>
      <c r="K63" s="6">
        <v>1471.53</v>
      </c>
      <c r="L63" s="83">
        <v>0</v>
      </c>
      <c r="M63" s="103">
        <f t="shared" si="0"/>
        <v>1471.53</v>
      </c>
    </row>
    <row r="64" spans="1:28" ht="13.5" customHeight="1" x14ac:dyDescent="0.2">
      <c r="A64" s="1">
        <v>51</v>
      </c>
      <c r="B64" s="1">
        <v>4</v>
      </c>
      <c r="C64" s="1">
        <v>10</v>
      </c>
      <c r="D64" s="1">
        <v>45</v>
      </c>
      <c r="E64" s="1" t="s">
        <v>107</v>
      </c>
      <c r="F64" s="5" t="s">
        <v>113</v>
      </c>
      <c r="G64" s="5">
        <v>0</v>
      </c>
      <c r="H64" s="5">
        <v>4600</v>
      </c>
      <c r="I64" s="5">
        <v>0</v>
      </c>
      <c r="J64" s="5" t="s">
        <v>112</v>
      </c>
      <c r="K64" s="6">
        <v>-2295.8000000000002</v>
      </c>
      <c r="L64" s="83">
        <f>VLOOKUP(F64, [4]Export1!$B$9:$H$237,7,FALSE)</f>
        <v>-1833.61</v>
      </c>
      <c r="M64" s="103">
        <f t="shared" si="0"/>
        <v>-462.19000000000028</v>
      </c>
    </row>
    <row r="65" spans="1:28" ht="13.5" customHeight="1" x14ac:dyDescent="0.2">
      <c r="A65" s="1">
        <v>59</v>
      </c>
      <c r="B65" s="1">
        <v>4</v>
      </c>
      <c r="C65" s="1">
        <v>80</v>
      </c>
      <c r="D65" s="1">
        <v>45</v>
      </c>
      <c r="E65" s="1" t="s">
        <v>107</v>
      </c>
      <c r="F65" s="5" t="s">
        <v>114</v>
      </c>
      <c r="G65" s="5">
        <v>5</v>
      </c>
      <c r="H65" s="5">
        <v>4600</v>
      </c>
      <c r="I65" s="5">
        <v>0</v>
      </c>
      <c r="J65" s="5" t="s">
        <v>112</v>
      </c>
      <c r="K65" s="6">
        <v>-48.2</v>
      </c>
      <c r="L65" s="83">
        <v>0</v>
      </c>
      <c r="M65" s="103">
        <f t="shared" si="0"/>
        <v>-48.2</v>
      </c>
    </row>
    <row r="66" spans="1:28" ht="13.5" customHeight="1" x14ac:dyDescent="0.2">
      <c r="A66" s="1">
        <v>261</v>
      </c>
      <c r="B66" s="1">
        <v>4</v>
      </c>
      <c r="C66" s="1">
        <v>60</v>
      </c>
      <c r="D66" s="1">
        <v>45</v>
      </c>
      <c r="E66" s="1" t="s">
        <v>107</v>
      </c>
      <c r="F66" s="5" t="s">
        <v>111</v>
      </c>
      <c r="G66" s="5">
        <v>60</v>
      </c>
      <c r="H66" s="5">
        <v>4600</v>
      </c>
      <c r="I66" s="5">
        <v>0</v>
      </c>
      <c r="J66" s="5" t="s">
        <v>112</v>
      </c>
      <c r="K66" s="6">
        <v>-331.49</v>
      </c>
      <c r="L66" s="83">
        <v>0</v>
      </c>
      <c r="M66" s="103">
        <f t="shared" si="0"/>
        <v>-331.49</v>
      </c>
    </row>
    <row r="67" spans="1:28" s="7" customFormat="1" ht="13.5" customHeight="1" x14ac:dyDescent="0.2">
      <c r="A67" s="1">
        <v>281</v>
      </c>
      <c r="B67" s="1">
        <v>4</v>
      </c>
      <c r="C67" s="1">
        <v>80</v>
      </c>
      <c r="D67" s="1">
        <v>45</v>
      </c>
      <c r="E67" s="1" t="s">
        <v>107</v>
      </c>
      <c r="F67" s="5" t="s">
        <v>115</v>
      </c>
      <c r="G67" s="5">
        <v>80</v>
      </c>
      <c r="H67" s="5">
        <v>4600</v>
      </c>
      <c r="I67" s="5">
        <v>0</v>
      </c>
      <c r="J67" s="5" t="s">
        <v>112</v>
      </c>
      <c r="K67" s="6">
        <v>-2.88</v>
      </c>
      <c r="L67" s="83">
        <v>0</v>
      </c>
      <c r="M67" s="103">
        <f t="shared" ref="M67:M130" si="1">K67-L67</f>
        <v>-2.88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7" customFormat="1" ht="13.5" customHeight="1" x14ac:dyDescent="0.2">
      <c r="A68" s="1">
        <v>60</v>
      </c>
      <c r="B68" s="1">
        <v>5</v>
      </c>
      <c r="C68" s="1">
        <v>80</v>
      </c>
      <c r="D68" s="1">
        <v>50</v>
      </c>
      <c r="E68" s="1" t="s">
        <v>546</v>
      </c>
      <c r="F68" s="5" t="s">
        <v>221</v>
      </c>
      <c r="G68" s="5">
        <v>5</v>
      </c>
      <c r="H68" s="5">
        <v>5010</v>
      </c>
      <c r="I68" s="5">
        <v>0</v>
      </c>
      <c r="J68" s="5" t="s">
        <v>222</v>
      </c>
      <c r="K68" s="6">
        <v>4352.84</v>
      </c>
      <c r="L68" s="83">
        <v>0</v>
      </c>
      <c r="M68" s="103">
        <f t="shared" si="1"/>
        <v>4352.84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3.5" customHeight="1" x14ac:dyDescent="0.2">
      <c r="A69" s="1">
        <v>74</v>
      </c>
      <c r="B69" s="1">
        <v>5</v>
      </c>
      <c r="C69" s="1">
        <v>10</v>
      </c>
      <c r="D69" s="1">
        <v>50</v>
      </c>
      <c r="E69" s="1" t="s">
        <v>546</v>
      </c>
      <c r="F69" s="5" t="s">
        <v>153</v>
      </c>
      <c r="G69" s="5">
        <v>10</v>
      </c>
      <c r="H69" s="5">
        <v>5010</v>
      </c>
      <c r="I69" s="5">
        <v>0</v>
      </c>
      <c r="J69" s="5" t="s">
        <v>146</v>
      </c>
      <c r="K69" s="6">
        <v>674475.06</v>
      </c>
      <c r="L69" s="83">
        <f>VLOOKUP(F69, [4]Export1!$B$9:$H$237,7,FALSE)</f>
        <v>275733.45</v>
      </c>
      <c r="M69" s="103">
        <f t="shared" si="1"/>
        <v>398741.61000000004</v>
      </c>
    </row>
    <row r="70" spans="1:28" ht="13.5" customHeight="1" x14ac:dyDescent="0.2">
      <c r="A70" s="1">
        <v>132</v>
      </c>
      <c r="B70" s="1">
        <v>5</v>
      </c>
      <c r="C70" s="1">
        <v>20</v>
      </c>
      <c r="D70" s="1">
        <v>50</v>
      </c>
      <c r="E70" s="1" t="s">
        <v>546</v>
      </c>
      <c r="F70" s="5" t="s">
        <v>145</v>
      </c>
      <c r="G70" s="5">
        <v>20</v>
      </c>
      <c r="H70" s="5">
        <v>5010</v>
      </c>
      <c r="I70" s="5">
        <v>0</v>
      </c>
      <c r="J70" s="5" t="s">
        <v>146</v>
      </c>
      <c r="K70" s="6">
        <v>343594.83</v>
      </c>
      <c r="L70" s="83">
        <f>VLOOKUP(F70, [4]Export1!$B$9:$H$237,7,FALSE)</f>
        <v>275287.61</v>
      </c>
      <c r="M70" s="103">
        <f t="shared" si="1"/>
        <v>68307.22000000003</v>
      </c>
    </row>
    <row r="71" spans="1:28" ht="13.5" customHeight="1" x14ac:dyDescent="0.2">
      <c r="A71" s="1">
        <v>150</v>
      </c>
      <c r="B71" s="1">
        <v>1</v>
      </c>
      <c r="C71" s="1">
        <v>25</v>
      </c>
      <c r="D71" s="1">
        <v>15</v>
      </c>
      <c r="E71" s="1" t="s">
        <v>559</v>
      </c>
      <c r="F71" s="5" t="s">
        <v>147</v>
      </c>
      <c r="G71" s="5">
        <v>25</v>
      </c>
      <c r="H71" s="5">
        <v>5010</v>
      </c>
      <c r="I71" s="5">
        <v>0</v>
      </c>
      <c r="J71" s="5" t="s">
        <v>146</v>
      </c>
      <c r="K71" s="6">
        <v>121081.59</v>
      </c>
      <c r="L71" s="83">
        <f>VLOOKUP(F71, [4]Export1!$B$9:$H$237,7,FALSE)</f>
        <v>49748.959999999999</v>
      </c>
      <c r="M71" s="103">
        <f t="shared" si="1"/>
        <v>71332.63</v>
      </c>
    </row>
    <row r="72" spans="1:28" ht="13.5" customHeight="1" x14ac:dyDescent="0.2">
      <c r="A72" s="1">
        <v>151</v>
      </c>
      <c r="B72" s="1">
        <v>1</v>
      </c>
      <c r="C72" s="1">
        <v>25</v>
      </c>
      <c r="D72" s="1">
        <v>15</v>
      </c>
      <c r="E72" s="1" t="s">
        <v>559</v>
      </c>
      <c r="F72" s="88" t="s">
        <v>565</v>
      </c>
      <c r="G72" s="88">
        <v>25</v>
      </c>
      <c r="H72" s="88">
        <v>5010</v>
      </c>
      <c r="I72" s="5">
        <v>28</v>
      </c>
      <c r="J72" s="5" t="s">
        <v>575</v>
      </c>
      <c r="K72" s="6"/>
      <c r="L72" s="83">
        <f>VLOOKUP(F72, [4]Export1!$B$9:$H$237,7,FALSE)</f>
        <v>-24975.8</v>
      </c>
      <c r="M72" s="103">
        <f t="shared" si="1"/>
        <v>24975.8</v>
      </c>
    </row>
    <row r="73" spans="1:28" ht="13.5" customHeight="1" x14ac:dyDescent="0.2">
      <c r="A73" s="1">
        <v>184</v>
      </c>
      <c r="B73" s="1">
        <v>5</v>
      </c>
      <c r="C73" s="1">
        <v>35</v>
      </c>
      <c r="D73" s="1">
        <v>50</v>
      </c>
      <c r="E73" s="1" t="s">
        <v>546</v>
      </c>
      <c r="F73" s="5" t="s">
        <v>151</v>
      </c>
      <c r="G73" s="5">
        <v>35</v>
      </c>
      <c r="H73" s="5">
        <v>5010</v>
      </c>
      <c r="I73" s="5">
        <v>0</v>
      </c>
      <c r="J73" s="5" t="s">
        <v>146</v>
      </c>
      <c r="K73" s="6">
        <v>787870.03</v>
      </c>
      <c r="L73" s="83">
        <f>VLOOKUP(F73, [4]Export1!$B$9:$H$237,7,FALSE)</f>
        <v>490153.03</v>
      </c>
      <c r="M73" s="103">
        <f t="shared" si="1"/>
        <v>297717</v>
      </c>
    </row>
    <row r="74" spans="1:28" s="7" customFormat="1" ht="13.5" customHeight="1" x14ac:dyDescent="0.2">
      <c r="A74" s="1">
        <v>211</v>
      </c>
      <c r="B74" s="1">
        <v>5</v>
      </c>
      <c r="C74" s="1">
        <v>36</v>
      </c>
      <c r="D74" s="1">
        <v>50</v>
      </c>
      <c r="E74" s="1" t="s">
        <v>546</v>
      </c>
      <c r="F74" s="5" t="s">
        <v>150</v>
      </c>
      <c r="G74" s="5">
        <v>36</v>
      </c>
      <c r="H74" s="5">
        <v>5010</v>
      </c>
      <c r="I74" s="5">
        <v>0</v>
      </c>
      <c r="J74" s="5" t="s">
        <v>146</v>
      </c>
      <c r="K74" s="6">
        <v>728.64</v>
      </c>
      <c r="L74" s="83">
        <f>VLOOKUP(F74, [4]Export1!$B$9:$H$237,7,FALSE)</f>
        <v>60307.63</v>
      </c>
      <c r="M74" s="103">
        <f t="shared" si="1"/>
        <v>-59578.99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7" customFormat="1" ht="13.5" customHeight="1" x14ac:dyDescent="0.2">
      <c r="A75" s="1">
        <v>236</v>
      </c>
      <c r="B75" s="1">
        <v>5</v>
      </c>
      <c r="C75" s="1">
        <v>40</v>
      </c>
      <c r="D75" s="1">
        <v>50</v>
      </c>
      <c r="E75" s="1" t="s">
        <v>546</v>
      </c>
      <c r="F75" s="5" t="s">
        <v>152</v>
      </c>
      <c r="G75" s="5">
        <v>40</v>
      </c>
      <c r="H75" s="5">
        <v>5010</v>
      </c>
      <c r="I75" s="5">
        <v>0</v>
      </c>
      <c r="J75" s="5" t="s">
        <v>146</v>
      </c>
      <c r="K75" s="6">
        <v>1453.21</v>
      </c>
      <c r="L75" s="83">
        <v>0</v>
      </c>
      <c r="M75" s="103">
        <f t="shared" si="1"/>
        <v>1453.21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7" customFormat="1" ht="13.5" customHeight="1" x14ac:dyDescent="0.2">
      <c r="A76" s="1">
        <v>245</v>
      </c>
      <c r="B76" s="1">
        <v>5</v>
      </c>
      <c r="C76" s="1">
        <v>45</v>
      </c>
      <c r="D76" s="1">
        <v>50</v>
      </c>
      <c r="E76" s="1" t="s">
        <v>546</v>
      </c>
      <c r="F76" s="5" t="s">
        <v>148</v>
      </c>
      <c r="G76" s="5">
        <v>45</v>
      </c>
      <c r="H76" s="5">
        <v>5010</v>
      </c>
      <c r="I76" s="5">
        <v>0</v>
      </c>
      <c r="J76" s="5" t="s">
        <v>146</v>
      </c>
      <c r="K76" s="6">
        <v>188033.45</v>
      </c>
      <c r="L76" s="83">
        <f>VLOOKUP(F76, [4]Export1!$B$9:$H$237,7,FALSE)</f>
        <v>146859.38</v>
      </c>
      <c r="M76" s="103">
        <f t="shared" si="1"/>
        <v>41174.070000000007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3.5" customHeight="1" x14ac:dyDescent="0.2">
      <c r="A77" s="1">
        <v>262</v>
      </c>
      <c r="B77" s="1">
        <v>5</v>
      </c>
      <c r="C77" s="1">
        <v>60</v>
      </c>
      <c r="D77" s="1">
        <v>50</v>
      </c>
      <c r="E77" s="1" t="s">
        <v>546</v>
      </c>
      <c r="F77" s="5" t="s">
        <v>149</v>
      </c>
      <c r="G77" s="5">
        <v>60</v>
      </c>
      <c r="H77" s="5">
        <v>5010</v>
      </c>
      <c r="I77" s="5">
        <v>0</v>
      </c>
      <c r="J77" s="5" t="s">
        <v>146</v>
      </c>
      <c r="K77" s="6">
        <v>201158.98</v>
      </c>
      <c r="L77" s="83">
        <f>VLOOKUP(F77, [4]Export1!$B$9:$H$237,7,FALSE)</f>
        <v>263393.25</v>
      </c>
      <c r="M77" s="103">
        <f t="shared" si="1"/>
        <v>-62234.26999999999</v>
      </c>
    </row>
    <row r="78" spans="1:28" ht="13.5" customHeight="1" x14ac:dyDescent="0.2">
      <c r="A78" s="1">
        <v>61</v>
      </c>
      <c r="B78" s="1">
        <v>5</v>
      </c>
      <c r="C78" s="1">
        <v>80</v>
      </c>
      <c r="D78" s="1">
        <v>50</v>
      </c>
      <c r="E78" s="1" t="s">
        <v>546</v>
      </c>
      <c r="F78" s="5" t="s">
        <v>227</v>
      </c>
      <c r="G78" s="5">
        <v>5</v>
      </c>
      <c r="H78" s="5">
        <v>5120</v>
      </c>
      <c r="I78" s="5">
        <v>0</v>
      </c>
      <c r="J78" s="5" t="s">
        <v>228</v>
      </c>
      <c r="K78" s="6">
        <v>353.08</v>
      </c>
      <c r="L78" s="83">
        <v>0</v>
      </c>
      <c r="M78" s="103">
        <f t="shared" si="1"/>
        <v>353.08</v>
      </c>
    </row>
    <row r="79" spans="1:28" ht="13.5" customHeight="1" x14ac:dyDescent="0.2">
      <c r="A79" s="1">
        <v>75</v>
      </c>
      <c r="B79" s="1">
        <v>5</v>
      </c>
      <c r="C79" s="1">
        <v>10</v>
      </c>
      <c r="D79" s="1">
        <v>50</v>
      </c>
      <c r="E79" s="1" t="s">
        <v>546</v>
      </c>
      <c r="F79" s="5" t="s">
        <v>301</v>
      </c>
      <c r="G79" s="5">
        <v>10</v>
      </c>
      <c r="H79" s="5">
        <v>5120</v>
      </c>
      <c r="I79" s="5">
        <v>0</v>
      </c>
      <c r="J79" s="5" t="s">
        <v>300</v>
      </c>
      <c r="K79" s="6">
        <v>47385.97</v>
      </c>
      <c r="L79" s="83">
        <f>VLOOKUP(F79, [4]Export1!$B$9:$H$237,7,FALSE)</f>
        <v>23492.31</v>
      </c>
      <c r="M79" s="103">
        <f t="shared" si="1"/>
        <v>23893.66</v>
      </c>
    </row>
    <row r="80" spans="1:28" ht="13.5" customHeight="1" x14ac:dyDescent="0.2">
      <c r="A80" s="1">
        <v>133</v>
      </c>
      <c r="B80" s="1">
        <v>5</v>
      </c>
      <c r="C80" s="1">
        <v>20</v>
      </c>
      <c r="D80" s="1">
        <v>50</v>
      </c>
      <c r="E80" s="1" t="s">
        <v>546</v>
      </c>
      <c r="F80" s="5" t="s">
        <v>292</v>
      </c>
      <c r="G80" s="5">
        <v>20</v>
      </c>
      <c r="H80" s="5">
        <v>5120</v>
      </c>
      <c r="I80" s="5">
        <v>0</v>
      </c>
      <c r="J80" s="5" t="s">
        <v>293</v>
      </c>
      <c r="K80" s="6">
        <v>19325.330000000002</v>
      </c>
      <c r="L80" s="83">
        <f>VLOOKUP(F80, [4]Export1!$B$9:$H$237,7,FALSE)</f>
        <v>22265.64</v>
      </c>
      <c r="M80" s="103">
        <f t="shared" si="1"/>
        <v>-2940.3099999999977</v>
      </c>
    </row>
    <row r="81" spans="1:13" ht="13.5" customHeight="1" x14ac:dyDescent="0.2">
      <c r="A81" s="1">
        <v>152</v>
      </c>
      <c r="B81" s="1">
        <v>1</v>
      </c>
      <c r="C81" s="1">
        <v>25</v>
      </c>
      <c r="D81" s="1">
        <v>15</v>
      </c>
      <c r="E81" s="1" t="s">
        <v>559</v>
      </c>
      <c r="F81" s="5" t="s">
        <v>294</v>
      </c>
      <c r="G81" s="5">
        <v>25</v>
      </c>
      <c r="H81" s="5">
        <v>5120</v>
      </c>
      <c r="I81" s="5">
        <v>0</v>
      </c>
      <c r="J81" s="5" t="s">
        <v>293</v>
      </c>
      <c r="K81" s="6">
        <v>9103.3799999999992</v>
      </c>
      <c r="L81" s="83">
        <f>VLOOKUP(F81, [4]Export1!$B$9:$H$237,7,FALSE)</f>
        <v>3895.05</v>
      </c>
      <c r="M81" s="103">
        <f t="shared" si="1"/>
        <v>5208.329999999999</v>
      </c>
    </row>
    <row r="82" spans="1:13" ht="13.5" customHeight="1" x14ac:dyDescent="0.2">
      <c r="A82" s="1">
        <v>185</v>
      </c>
      <c r="B82" s="1">
        <v>5</v>
      </c>
      <c r="C82" s="1">
        <v>35</v>
      </c>
      <c r="D82" s="1">
        <v>50</v>
      </c>
      <c r="E82" s="1" t="s">
        <v>546</v>
      </c>
      <c r="F82" s="5" t="s">
        <v>298</v>
      </c>
      <c r="G82" s="5">
        <v>35</v>
      </c>
      <c r="H82" s="5">
        <v>5120</v>
      </c>
      <c r="I82" s="5">
        <v>0</v>
      </c>
      <c r="J82" s="5" t="s">
        <v>293</v>
      </c>
      <c r="K82" s="6">
        <v>53741.39</v>
      </c>
      <c r="L82" s="83">
        <f>VLOOKUP(F82, [4]Export1!$B$9:$H$237,7,FALSE)</f>
        <v>37550.42</v>
      </c>
      <c r="M82" s="103">
        <f t="shared" si="1"/>
        <v>16190.970000000001</v>
      </c>
    </row>
    <row r="83" spans="1:13" ht="13.5" customHeight="1" x14ac:dyDescent="0.2">
      <c r="A83" s="1">
        <v>212</v>
      </c>
      <c r="B83" s="1">
        <v>5</v>
      </c>
      <c r="C83" s="1">
        <v>36</v>
      </c>
      <c r="D83" s="1">
        <v>50</v>
      </c>
      <c r="E83" s="1" t="s">
        <v>546</v>
      </c>
      <c r="F83" s="5" t="s">
        <v>297</v>
      </c>
      <c r="G83" s="5">
        <v>36</v>
      </c>
      <c r="H83" s="5">
        <v>5120</v>
      </c>
      <c r="I83" s="5">
        <v>0</v>
      </c>
      <c r="J83" s="5" t="s">
        <v>293</v>
      </c>
      <c r="K83" s="6">
        <v>53.71</v>
      </c>
      <c r="L83" s="83">
        <f>VLOOKUP(F83, [4]Export1!$B$9:$H$237,7,FALSE)</f>
        <v>4481.79</v>
      </c>
      <c r="M83" s="103">
        <f t="shared" si="1"/>
        <v>-4428.08</v>
      </c>
    </row>
    <row r="84" spans="1:13" ht="13.5" customHeight="1" x14ac:dyDescent="0.2">
      <c r="A84" s="1">
        <v>237</v>
      </c>
      <c r="B84" s="1">
        <v>5</v>
      </c>
      <c r="C84" s="1">
        <v>40</v>
      </c>
      <c r="D84" s="1">
        <v>50</v>
      </c>
      <c r="E84" s="1" t="s">
        <v>546</v>
      </c>
      <c r="F84" s="5" t="s">
        <v>299</v>
      </c>
      <c r="G84" s="5">
        <v>40</v>
      </c>
      <c r="H84" s="5">
        <v>5120</v>
      </c>
      <c r="I84" s="5">
        <v>0</v>
      </c>
      <c r="J84" s="5" t="s">
        <v>293</v>
      </c>
      <c r="K84" s="6">
        <v>104.91</v>
      </c>
      <c r="L84" s="83">
        <v>0</v>
      </c>
      <c r="M84" s="103">
        <f t="shared" si="1"/>
        <v>104.91</v>
      </c>
    </row>
    <row r="85" spans="1:13" ht="13.5" customHeight="1" x14ac:dyDescent="0.2">
      <c r="A85" s="1">
        <v>246</v>
      </c>
      <c r="B85" s="1">
        <v>5</v>
      </c>
      <c r="C85" s="1">
        <v>45</v>
      </c>
      <c r="D85" s="1">
        <v>50</v>
      </c>
      <c r="E85" s="1" t="s">
        <v>546</v>
      </c>
      <c r="F85" s="5" t="s">
        <v>295</v>
      </c>
      <c r="G85" s="5">
        <v>45</v>
      </c>
      <c r="H85" s="5">
        <v>5120</v>
      </c>
      <c r="I85" s="5">
        <v>0</v>
      </c>
      <c r="J85" s="5" t="s">
        <v>293</v>
      </c>
      <c r="K85" s="6">
        <v>13470.3</v>
      </c>
      <c r="L85" s="83">
        <f>VLOOKUP(F85, [4]Export1!$B$9:$H$237,7,FALSE)</f>
        <v>10786.08</v>
      </c>
      <c r="M85" s="103">
        <f t="shared" si="1"/>
        <v>2684.2199999999993</v>
      </c>
    </row>
    <row r="86" spans="1:13" ht="13.5" customHeight="1" x14ac:dyDescent="0.2">
      <c r="A86" s="1">
        <v>263</v>
      </c>
      <c r="B86" s="1">
        <v>5</v>
      </c>
      <c r="C86" s="1">
        <v>60</v>
      </c>
      <c r="D86" s="1">
        <v>50</v>
      </c>
      <c r="E86" s="1" t="s">
        <v>546</v>
      </c>
      <c r="F86" s="5" t="s">
        <v>296</v>
      </c>
      <c r="G86" s="5">
        <v>60</v>
      </c>
      <c r="H86" s="5">
        <v>5120</v>
      </c>
      <c r="I86" s="5">
        <v>0</v>
      </c>
      <c r="J86" s="5" t="s">
        <v>293</v>
      </c>
      <c r="K86" s="6">
        <v>15303.47</v>
      </c>
      <c r="L86" s="83">
        <f>VLOOKUP(F86, [4]Export1!$B$9:$H$237,7,FALSE)</f>
        <v>19515.21</v>
      </c>
      <c r="M86" s="103">
        <f t="shared" si="1"/>
        <v>-4211.74</v>
      </c>
    </row>
    <row r="87" spans="1:13" ht="13.5" customHeight="1" x14ac:dyDescent="0.2">
      <c r="A87" s="1">
        <v>76</v>
      </c>
      <c r="B87" s="1">
        <v>5</v>
      </c>
      <c r="C87" s="1">
        <v>10</v>
      </c>
      <c r="D87" s="1">
        <v>50</v>
      </c>
      <c r="E87" s="1" t="s">
        <v>546</v>
      </c>
      <c r="F87" s="5" t="s">
        <v>343</v>
      </c>
      <c r="G87" s="5">
        <v>10</v>
      </c>
      <c r="H87" s="5">
        <v>5130</v>
      </c>
      <c r="I87" s="5">
        <v>0</v>
      </c>
      <c r="J87" s="5" t="s">
        <v>344</v>
      </c>
      <c r="K87" s="6">
        <v>8074.26</v>
      </c>
      <c r="L87" s="83">
        <f>VLOOKUP(F87, [4]Export1!$B$9:$H$237,7,FALSE)</f>
        <v>4640.6099999999997</v>
      </c>
      <c r="M87" s="103">
        <f t="shared" si="1"/>
        <v>3433.6500000000005</v>
      </c>
    </row>
    <row r="88" spans="1:13" ht="13.5" customHeight="1" x14ac:dyDescent="0.2">
      <c r="A88" s="1">
        <v>62</v>
      </c>
      <c r="B88" s="1">
        <v>5</v>
      </c>
      <c r="C88" s="1">
        <v>80</v>
      </c>
      <c r="D88" s="1">
        <v>50</v>
      </c>
      <c r="E88" s="1" t="s">
        <v>546</v>
      </c>
      <c r="F88" s="5" t="s">
        <v>225</v>
      </c>
      <c r="G88" s="5">
        <v>5</v>
      </c>
      <c r="H88" s="5">
        <v>5200</v>
      </c>
      <c r="I88" s="5">
        <v>0</v>
      </c>
      <c r="J88" s="5" t="s">
        <v>226</v>
      </c>
      <c r="K88" s="6">
        <v>510</v>
      </c>
      <c r="L88" s="83">
        <v>0</v>
      </c>
      <c r="M88" s="103">
        <f t="shared" si="1"/>
        <v>510</v>
      </c>
    </row>
    <row r="89" spans="1:13" ht="13.5" customHeight="1" x14ac:dyDescent="0.2">
      <c r="A89" s="1">
        <v>77</v>
      </c>
      <c r="B89" s="1">
        <v>5</v>
      </c>
      <c r="C89" s="1">
        <v>10</v>
      </c>
      <c r="D89" s="1">
        <v>50</v>
      </c>
      <c r="E89" s="1" t="s">
        <v>546</v>
      </c>
      <c r="F89" s="5" t="s">
        <v>200</v>
      </c>
      <c r="G89" s="5">
        <v>10</v>
      </c>
      <c r="H89" s="5">
        <v>5200</v>
      </c>
      <c r="I89" s="5">
        <v>0</v>
      </c>
      <c r="J89" s="5" t="s">
        <v>201</v>
      </c>
      <c r="K89" s="6">
        <v>15365.34</v>
      </c>
      <c r="L89" s="83">
        <f>VLOOKUP(F89, [4]Export1!$B$9:$H$237,7,FALSE)</f>
        <v>7331.14</v>
      </c>
      <c r="M89" s="103">
        <f t="shared" si="1"/>
        <v>8034.2</v>
      </c>
    </row>
    <row r="90" spans="1:13" ht="13.5" customHeight="1" x14ac:dyDescent="0.2">
      <c r="A90" s="1">
        <v>134</v>
      </c>
      <c r="B90" s="1">
        <v>5</v>
      </c>
      <c r="C90" s="1">
        <v>20</v>
      </c>
      <c r="D90" s="1">
        <v>50</v>
      </c>
      <c r="E90" s="1" t="s">
        <v>546</v>
      </c>
      <c r="F90" s="5" t="s">
        <v>202</v>
      </c>
      <c r="G90" s="5">
        <v>20</v>
      </c>
      <c r="H90" s="5">
        <v>5200</v>
      </c>
      <c r="I90" s="5">
        <v>0</v>
      </c>
      <c r="J90" s="5" t="s">
        <v>201</v>
      </c>
      <c r="K90" s="6">
        <v>2705</v>
      </c>
      <c r="L90" s="83">
        <f>VLOOKUP(F90, [4]Export1!$B$9:$H$237,7,FALSE)</f>
        <v>2970</v>
      </c>
      <c r="M90" s="103">
        <f t="shared" si="1"/>
        <v>-265</v>
      </c>
    </row>
    <row r="91" spans="1:13" ht="13.5" customHeight="1" x14ac:dyDescent="0.2">
      <c r="A91" s="1">
        <v>153</v>
      </c>
      <c r="B91" s="1">
        <v>1</v>
      </c>
      <c r="C91" s="1">
        <v>25</v>
      </c>
      <c r="D91" s="1">
        <v>15</v>
      </c>
      <c r="E91" s="1" t="s">
        <v>559</v>
      </c>
      <c r="F91" s="5" t="s">
        <v>203</v>
      </c>
      <c r="G91" s="5">
        <v>25</v>
      </c>
      <c r="H91" s="5">
        <v>5200</v>
      </c>
      <c r="I91" s="5">
        <v>0</v>
      </c>
      <c r="J91" s="5" t="s">
        <v>201</v>
      </c>
      <c r="K91" s="6">
        <v>2550</v>
      </c>
      <c r="L91" s="83">
        <f>VLOOKUP(F91, [4]Export1!$B$9:$H$237,7,FALSE)</f>
        <v>1859.75</v>
      </c>
      <c r="M91" s="103">
        <f t="shared" si="1"/>
        <v>690.25</v>
      </c>
    </row>
    <row r="92" spans="1:13" ht="13.5" customHeight="1" x14ac:dyDescent="0.2">
      <c r="A92" s="1">
        <v>186</v>
      </c>
      <c r="B92" s="1">
        <v>5</v>
      </c>
      <c r="C92" s="1">
        <v>35</v>
      </c>
      <c r="D92" s="1">
        <v>50</v>
      </c>
      <c r="E92" s="1" t="s">
        <v>546</v>
      </c>
      <c r="F92" s="5" t="s">
        <v>204</v>
      </c>
      <c r="G92" s="5">
        <v>35</v>
      </c>
      <c r="H92" s="5">
        <v>5200</v>
      </c>
      <c r="I92" s="5">
        <v>0</v>
      </c>
      <c r="J92" s="5" t="s">
        <v>201</v>
      </c>
      <c r="K92" s="6">
        <v>9407.5</v>
      </c>
      <c r="L92" s="83">
        <f>VLOOKUP(F92, [4]Export1!$B$9:$H$237,7,FALSE)</f>
        <v>9137.5</v>
      </c>
      <c r="M92" s="103">
        <f t="shared" si="1"/>
        <v>270</v>
      </c>
    </row>
    <row r="93" spans="1:13" ht="13.5" customHeight="1" x14ac:dyDescent="0.2">
      <c r="A93" s="1">
        <v>213</v>
      </c>
      <c r="B93" s="1">
        <v>5</v>
      </c>
      <c r="C93" s="1">
        <v>36</v>
      </c>
      <c r="D93" s="1">
        <v>50</v>
      </c>
      <c r="E93" s="1" t="s">
        <v>546</v>
      </c>
      <c r="F93" s="5" t="s">
        <v>205</v>
      </c>
      <c r="G93" s="5">
        <v>36</v>
      </c>
      <c r="H93" s="5">
        <v>5200</v>
      </c>
      <c r="I93" s="5">
        <v>0</v>
      </c>
      <c r="J93" s="5" t="s">
        <v>201</v>
      </c>
      <c r="K93" s="6">
        <v>170</v>
      </c>
      <c r="L93" s="83">
        <f>VLOOKUP(F93, [4]Export1!$B$9:$H$237,7,FALSE)</f>
        <v>1147.5</v>
      </c>
      <c r="M93" s="103">
        <f t="shared" si="1"/>
        <v>-977.5</v>
      </c>
    </row>
    <row r="94" spans="1:13" ht="13.5" customHeight="1" x14ac:dyDescent="0.2">
      <c r="A94" s="1">
        <v>238</v>
      </c>
      <c r="B94" s="1">
        <v>5</v>
      </c>
      <c r="C94" s="1">
        <v>40</v>
      </c>
      <c r="D94" s="1">
        <v>50</v>
      </c>
      <c r="E94" s="1" t="s">
        <v>546</v>
      </c>
      <c r="F94" s="5" t="s">
        <v>206</v>
      </c>
      <c r="G94" s="5">
        <v>40</v>
      </c>
      <c r="H94" s="5">
        <v>5200</v>
      </c>
      <c r="I94" s="5">
        <v>0</v>
      </c>
      <c r="J94" s="5" t="s">
        <v>201</v>
      </c>
      <c r="K94" s="6">
        <v>255</v>
      </c>
      <c r="L94" s="83">
        <v>0</v>
      </c>
      <c r="M94" s="103">
        <f t="shared" si="1"/>
        <v>255</v>
      </c>
    </row>
    <row r="95" spans="1:13" ht="13.5" customHeight="1" x14ac:dyDescent="0.2">
      <c r="A95" s="1">
        <v>247</v>
      </c>
      <c r="B95" s="1">
        <v>5</v>
      </c>
      <c r="C95" s="1">
        <v>45</v>
      </c>
      <c r="D95" s="1">
        <v>50</v>
      </c>
      <c r="E95" s="1" t="s">
        <v>546</v>
      </c>
      <c r="F95" s="5" t="s">
        <v>207</v>
      </c>
      <c r="G95" s="5">
        <v>45</v>
      </c>
      <c r="H95" s="5">
        <v>5200</v>
      </c>
      <c r="I95" s="5">
        <v>0</v>
      </c>
      <c r="J95" s="5" t="s">
        <v>201</v>
      </c>
      <c r="K95" s="6">
        <v>2725.2</v>
      </c>
      <c r="L95" s="83">
        <f>VLOOKUP(F95, [4]Export1!$B$9:$H$237,7,FALSE)</f>
        <v>2555.29</v>
      </c>
      <c r="M95" s="103">
        <f t="shared" si="1"/>
        <v>169.90999999999985</v>
      </c>
    </row>
    <row r="96" spans="1:13" ht="13.5" customHeight="1" x14ac:dyDescent="0.2">
      <c r="A96" s="1">
        <v>264</v>
      </c>
      <c r="B96" s="1">
        <v>5</v>
      </c>
      <c r="C96" s="1">
        <v>60</v>
      </c>
      <c r="D96" s="1">
        <v>50</v>
      </c>
      <c r="E96" s="1" t="s">
        <v>546</v>
      </c>
      <c r="F96" s="5" t="s">
        <v>208</v>
      </c>
      <c r="G96" s="5">
        <v>60</v>
      </c>
      <c r="H96" s="5">
        <v>5200</v>
      </c>
      <c r="I96" s="5">
        <v>0</v>
      </c>
      <c r="J96" s="5" t="s">
        <v>201</v>
      </c>
      <c r="K96" s="6">
        <v>1873.75</v>
      </c>
      <c r="L96" s="83">
        <f>VLOOKUP(F96, [4]Export1!$B$9:$H$237,7,FALSE)</f>
        <v>2525.94</v>
      </c>
      <c r="M96" s="103">
        <f t="shared" si="1"/>
        <v>-652.19000000000005</v>
      </c>
    </row>
    <row r="97" spans="1:28" ht="13.5" customHeight="1" x14ac:dyDescent="0.2">
      <c r="A97" s="1">
        <v>63</v>
      </c>
      <c r="B97" s="1">
        <v>5</v>
      </c>
      <c r="C97" s="1">
        <v>80</v>
      </c>
      <c r="D97" s="1">
        <v>50</v>
      </c>
      <c r="E97" s="1" t="s">
        <v>546</v>
      </c>
      <c r="F97" s="5" t="s">
        <v>234</v>
      </c>
      <c r="G97" s="5">
        <v>5</v>
      </c>
      <c r="H97" s="5">
        <v>5210</v>
      </c>
      <c r="I97" s="5">
        <v>0</v>
      </c>
      <c r="J97" s="5" t="s">
        <v>235</v>
      </c>
      <c r="K97" s="6">
        <v>7404.01</v>
      </c>
      <c r="L97" s="83">
        <v>0</v>
      </c>
      <c r="M97" s="103">
        <f t="shared" si="1"/>
        <v>7404.01</v>
      </c>
    </row>
    <row r="98" spans="1:28" ht="13.5" customHeight="1" x14ac:dyDescent="0.2">
      <c r="A98" s="1">
        <v>78</v>
      </c>
      <c r="B98" s="1">
        <v>5</v>
      </c>
      <c r="C98" s="1">
        <v>10</v>
      </c>
      <c r="D98" s="1">
        <v>50</v>
      </c>
      <c r="E98" s="1" t="s">
        <v>546</v>
      </c>
      <c r="F98" s="5" t="s">
        <v>255</v>
      </c>
      <c r="G98" s="5">
        <v>10</v>
      </c>
      <c r="H98" s="5">
        <v>5210</v>
      </c>
      <c r="I98" s="5">
        <v>0</v>
      </c>
      <c r="J98" s="5" t="s">
        <v>256</v>
      </c>
      <c r="K98" s="6">
        <v>92962.07</v>
      </c>
      <c r="L98" s="83">
        <f>VLOOKUP(F98, [4]Export1!$B$9:$H$237,7,FALSE)</f>
        <v>29871.47</v>
      </c>
      <c r="M98" s="103">
        <f t="shared" si="1"/>
        <v>63090.600000000006</v>
      </c>
    </row>
    <row r="99" spans="1:28" s="7" customFormat="1" ht="13.5" customHeight="1" x14ac:dyDescent="0.2">
      <c r="A99" s="1">
        <v>135</v>
      </c>
      <c r="B99" s="1">
        <v>5</v>
      </c>
      <c r="C99" s="1">
        <v>20</v>
      </c>
      <c r="D99" s="1">
        <v>50</v>
      </c>
      <c r="E99" s="1" t="s">
        <v>546</v>
      </c>
      <c r="F99" s="5" t="s">
        <v>257</v>
      </c>
      <c r="G99" s="5">
        <v>20</v>
      </c>
      <c r="H99" s="5">
        <v>5210</v>
      </c>
      <c r="I99" s="5">
        <v>0</v>
      </c>
      <c r="J99" s="5" t="s">
        <v>256</v>
      </c>
      <c r="K99" s="6">
        <v>19069.669999999998</v>
      </c>
      <c r="L99" s="83">
        <f>VLOOKUP(F99, [4]Export1!$B$9:$H$237,7,FALSE)</f>
        <v>19788.62</v>
      </c>
      <c r="M99" s="103">
        <f t="shared" si="1"/>
        <v>-718.95000000000073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s="7" customFormat="1" ht="13.5" customHeight="1" x14ac:dyDescent="0.2">
      <c r="A100" s="1">
        <v>154</v>
      </c>
      <c r="B100" s="1">
        <v>1</v>
      </c>
      <c r="C100" s="1">
        <v>25</v>
      </c>
      <c r="D100" s="1">
        <v>15</v>
      </c>
      <c r="E100" s="1" t="s">
        <v>559</v>
      </c>
      <c r="F100" s="5" t="s">
        <v>258</v>
      </c>
      <c r="G100" s="5">
        <v>25</v>
      </c>
      <c r="H100" s="5">
        <v>5210</v>
      </c>
      <c r="I100" s="5">
        <v>0</v>
      </c>
      <c r="J100" s="5" t="s">
        <v>256</v>
      </c>
      <c r="K100" s="6">
        <v>26434.91</v>
      </c>
      <c r="L100" s="83">
        <f>VLOOKUP(F100, [4]Export1!$B$9:$H$237,7,FALSE)</f>
        <v>14042.64</v>
      </c>
      <c r="M100" s="103">
        <f t="shared" si="1"/>
        <v>12392.27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3.5" customHeight="1" x14ac:dyDescent="0.2">
      <c r="A101" s="1">
        <v>187</v>
      </c>
      <c r="B101" s="1">
        <v>5</v>
      </c>
      <c r="C101" s="1">
        <v>35</v>
      </c>
      <c r="D101" s="1">
        <v>50</v>
      </c>
      <c r="E101" s="1" t="s">
        <v>546</v>
      </c>
      <c r="F101" s="5" t="s">
        <v>259</v>
      </c>
      <c r="G101" s="5">
        <v>35</v>
      </c>
      <c r="H101" s="5">
        <v>5210</v>
      </c>
      <c r="I101" s="5">
        <v>0</v>
      </c>
      <c r="J101" s="5" t="s">
        <v>256</v>
      </c>
      <c r="K101" s="6">
        <v>87365.17</v>
      </c>
      <c r="L101" s="83">
        <f>VLOOKUP(F101, [4]Export1!$B$9:$H$237,7,FALSE)</f>
        <v>49519.19</v>
      </c>
      <c r="M101" s="103">
        <f t="shared" si="1"/>
        <v>37845.979999999996</v>
      </c>
    </row>
    <row r="102" spans="1:28" ht="13.5" customHeight="1" x14ac:dyDescent="0.2">
      <c r="A102" s="1">
        <v>214</v>
      </c>
      <c r="B102" s="1">
        <v>5</v>
      </c>
      <c r="C102" s="1">
        <v>36</v>
      </c>
      <c r="D102" s="1">
        <v>50</v>
      </c>
      <c r="E102" s="1" t="s">
        <v>546</v>
      </c>
      <c r="F102" s="5" t="s">
        <v>260</v>
      </c>
      <c r="G102" s="5">
        <v>36</v>
      </c>
      <c r="H102" s="5">
        <v>5210</v>
      </c>
      <c r="I102" s="5">
        <v>0</v>
      </c>
      <c r="J102" s="5" t="s">
        <v>256</v>
      </c>
      <c r="K102" s="6">
        <v>1628.69</v>
      </c>
      <c r="L102" s="83">
        <f>VLOOKUP(F102, [4]Export1!$B$9:$H$237,7,FALSE)</f>
        <v>3855.54</v>
      </c>
      <c r="M102" s="103">
        <f t="shared" si="1"/>
        <v>-2226.85</v>
      </c>
    </row>
    <row r="103" spans="1:28" ht="13.5" customHeight="1" x14ac:dyDescent="0.2">
      <c r="A103" s="1">
        <v>239</v>
      </c>
      <c r="B103" s="1">
        <v>5</v>
      </c>
      <c r="C103" s="1">
        <v>40</v>
      </c>
      <c r="D103" s="1">
        <v>50</v>
      </c>
      <c r="E103" s="1" t="s">
        <v>546</v>
      </c>
      <c r="F103" s="5" t="s">
        <v>261</v>
      </c>
      <c r="G103" s="5">
        <v>40</v>
      </c>
      <c r="H103" s="5">
        <v>5210</v>
      </c>
      <c r="I103" s="5">
        <v>0</v>
      </c>
      <c r="J103" s="5" t="s">
        <v>256</v>
      </c>
      <c r="K103" s="6">
        <v>4016.24</v>
      </c>
      <c r="L103" s="83">
        <v>0</v>
      </c>
      <c r="M103" s="103">
        <f t="shared" si="1"/>
        <v>4016.24</v>
      </c>
    </row>
    <row r="104" spans="1:28" ht="13.5" customHeight="1" x14ac:dyDescent="0.2">
      <c r="A104" s="1">
        <v>248</v>
      </c>
      <c r="B104" s="1">
        <v>5</v>
      </c>
      <c r="C104" s="1">
        <v>45</v>
      </c>
      <c r="D104" s="1">
        <v>50</v>
      </c>
      <c r="E104" s="1" t="s">
        <v>546</v>
      </c>
      <c r="F104" s="5" t="s">
        <v>262</v>
      </c>
      <c r="G104" s="5">
        <v>45</v>
      </c>
      <c r="H104" s="5">
        <v>5210</v>
      </c>
      <c r="I104" s="5">
        <v>0</v>
      </c>
      <c r="J104" s="5" t="s">
        <v>256</v>
      </c>
      <c r="K104" s="6">
        <v>4638.93</v>
      </c>
      <c r="L104" s="83">
        <f>VLOOKUP(F104, [4]Export1!$B$9:$H$237,7,FALSE)</f>
        <v>6220.26</v>
      </c>
      <c r="M104" s="103">
        <f t="shared" si="1"/>
        <v>-1581.33</v>
      </c>
    </row>
    <row r="105" spans="1:28" ht="13.5" customHeight="1" x14ac:dyDescent="0.2">
      <c r="A105" s="1">
        <v>265</v>
      </c>
      <c r="B105" s="1">
        <v>5</v>
      </c>
      <c r="C105" s="1">
        <v>60</v>
      </c>
      <c r="D105" s="1">
        <v>50</v>
      </c>
      <c r="E105" s="1" t="s">
        <v>546</v>
      </c>
      <c r="F105" s="5" t="s">
        <v>263</v>
      </c>
      <c r="G105" s="5">
        <v>60</v>
      </c>
      <c r="H105" s="5">
        <v>5210</v>
      </c>
      <c r="I105" s="5">
        <v>0</v>
      </c>
      <c r="J105" s="5" t="s">
        <v>256</v>
      </c>
      <c r="K105" s="6">
        <v>24997.81</v>
      </c>
      <c r="L105" s="83">
        <f>VLOOKUP(F105, [4]Export1!$B$9:$H$237,7,FALSE)</f>
        <v>21225.31</v>
      </c>
      <c r="M105" s="103">
        <f t="shared" si="1"/>
        <v>3772.5</v>
      </c>
    </row>
    <row r="106" spans="1:28" s="7" customFormat="1" ht="13.5" customHeight="1" x14ac:dyDescent="0.2">
      <c r="A106" s="1">
        <v>64</v>
      </c>
      <c r="B106" s="1">
        <v>5</v>
      </c>
      <c r="C106" s="1">
        <v>80</v>
      </c>
      <c r="D106" s="1">
        <v>50</v>
      </c>
      <c r="E106" s="1" t="s">
        <v>546</v>
      </c>
      <c r="F106" s="5" t="s">
        <v>229</v>
      </c>
      <c r="G106" s="5">
        <v>5</v>
      </c>
      <c r="H106" s="5">
        <v>5220</v>
      </c>
      <c r="I106" s="5">
        <v>0</v>
      </c>
      <c r="J106" s="5" t="s">
        <v>230</v>
      </c>
      <c r="K106" s="6">
        <v>175.31</v>
      </c>
      <c r="L106" s="83">
        <v>0</v>
      </c>
      <c r="M106" s="103">
        <f t="shared" si="1"/>
        <v>175.31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s="7" customFormat="1" ht="13.5" customHeight="1" x14ac:dyDescent="0.2">
      <c r="A107" s="1">
        <v>79</v>
      </c>
      <c r="B107" s="1">
        <v>5</v>
      </c>
      <c r="C107" s="1">
        <v>10</v>
      </c>
      <c r="D107" s="1">
        <v>50</v>
      </c>
      <c r="E107" s="1" t="s">
        <v>546</v>
      </c>
      <c r="F107" s="5" t="s">
        <v>246</v>
      </c>
      <c r="G107" s="5">
        <v>10</v>
      </c>
      <c r="H107" s="5">
        <v>5220</v>
      </c>
      <c r="I107" s="5">
        <v>0</v>
      </c>
      <c r="J107" s="5" t="s">
        <v>247</v>
      </c>
      <c r="K107" s="6">
        <v>2881.11</v>
      </c>
      <c r="L107" s="83">
        <f>VLOOKUP(F107, [4]Export1!$B$9:$H$237,7,FALSE)</f>
        <v>2073.64</v>
      </c>
      <c r="M107" s="103">
        <f t="shared" si="1"/>
        <v>807.47000000000025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s="7" customFormat="1" ht="13.5" customHeight="1" x14ac:dyDescent="0.2">
      <c r="A108" s="1">
        <v>136</v>
      </c>
      <c r="B108" s="1">
        <v>5</v>
      </c>
      <c r="C108" s="1">
        <v>20</v>
      </c>
      <c r="D108" s="1">
        <v>50</v>
      </c>
      <c r="E108" s="1" t="s">
        <v>546</v>
      </c>
      <c r="F108" s="5" t="s">
        <v>248</v>
      </c>
      <c r="G108" s="5">
        <v>20</v>
      </c>
      <c r="H108" s="5">
        <v>5220</v>
      </c>
      <c r="I108" s="5">
        <v>0</v>
      </c>
      <c r="J108" s="5" t="s">
        <v>247</v>
      </c>
      <c r="K108" s="6">
        <v>585.11</v>
      </c>
      <c r="L108" s="83">
        <f>VLOOKUP(F108, [4]Export1!$B$9:$H$237,7,FALSE)</f>
        <v>582.20000000000005</v>
      </c>
      <c r="M108" s="103">
        <f t="shared" si="1"/>
        <v>2.9099999999999682</v>
      </c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s="7" customFormat="1" ht="13.5" customHeight="1" x14ac:dyDescent="0.2">
      <c r="A109" s="1">
        <v>155</v>
      </c>
      <c r="B109" s="1">
        <v>1</v>
      </c>
      <c r="C109" s="1">
        <v>25</v>
      </c>
      <c r="D109" s="1">
        <v>15</v>
      </c>
      <c r="E109" s="1" t="s">
        <v>559</v>
      </c>
      <c r="F109" s="5" t="s">
        <v>249</v>
      </c>
      <c r="G109" s="5">
        <v>25</v>
      </c>
      <c r="H109" s="5">
        <v>5220</v>
      </c>
      <c r="I109" s="5">
        <v>0</v>
      </c>
      <c r="J109" s="5" t="s">
        <v>247</v>
      </c>
      <c r="K109" s="6">
        <v>610.79</v>
      </c>
      <c r="L109" s="83">
        <f>VLOOKUP(F109, [4]Export1!$B$9:$H$237,7,FALSE)</f>
        <v>360.56</v>
      </c>
      <c r="M109" s="103">
        <f t="shared" si="1"/>
        <v>250.22999999999996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s="7" customFormat="1" ht="13.5" customHeight="1" x14ac:dyDescent="0.2">
      <c r="A110" s="1">
        <v>188</v>
      </c>
      <c r="B110" s="1">
        <v>5</v>
      </c>
      <c r="C110" s="1">
        <v>35</v>
      </c>
      <c r="D110" s="1">
        <v>50</v>
      </c>
      <c r="E110" s="1" t="s">
        <v>546</v>
      </c>
      <c r="F110" s="5" t="s">
        <v>250</v>
      </c>
      <c r="G110" s="5">
        <v>35</v>
      </c>
      <c r="H110" s="5">
        <v>5220</v>
      </c>
      <c r="I110" s="5">
        <v>0</v>
      </c>
      <c r="J110" s="5" t="s">
        <v>247</v>
      </c>
      <c r="K110" s="6">
        <v>3030.36</v>
      </c>
      <c r="L110" s="83">
        <f>VLOOKUP(F110, [4]Export1!$B$9:$H$237,7,FALSE)</f>
        <v>2188.4299999999998</v>
      </c>
      <c r="M110" s="103">
        <f t="shared" si="1"/>
        <v>841.93000000000029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3.5" customHeight="1" x14ac:dyDescent="0.2">
      <c r="A111" s="1">
        <v>215</v>
      </c>
      <c r="B111" s="1">
        <v>5</v>
      </c>
      <c r="C111" s="1">
        <v>36</v>
      </c>
      <c r="D111" s="1">
        <v>50</v>
      </c>
      <c r="E111" s="1" t="s">
        <v>546</v>
      </c>
      <c r="F111" s="5" t="s">
        <v>251</v>
      </c>
      <c r="G111" s="5">
        <v>36</v>
      </c>
      <c r="H111" s="5">
        <v>5220</v>
      </c>
      <c r="I111" s="5">
        <v>0</v>
      </c>
      <c r="J111" s="5" t="s">
        <v>247</v>
      </c>
      <c r="K111" s="6">
        <v>37.409999999999997</v>
      </c>
      <c r="L111" s="83">
        <f>VLOOKUP(F111, [4]Export1!$B$9:$H$237,7,FALSE)</f>
        <v>192</v>
      </c>
      <c r="M111" s="103">
        <f t="shared" si="1"/>
        <v>-154.59</v>
      </c>
    </row>
    <row r="112" spans="1:28" ht="13.5" customHeight="1" x14ac:dyDescent="0.2">
      <c r="A112" s="1">
        <v>240</v>
      </c>
      <c r="B112" s="1">
        <v>5</v>
      </c>
      <c r="C112" s="1">
        <v>40</v>
      </c>
      <c r="D112" s="1">
        <v>50</v>
      </c>
      <c r="E112" s="1" t="s">
        <v>546</v>
      </c>
      <c r="F112" s="5" t="s">
        <v>252</v>
      </c>
      <c r="G112" s="5">
        <v>40</v>
      </c>
      <c r="H112" s="5">
        <v>5220</v>
      </c>
      <c r="I112" s="5">
        <v>0</v>
      </c>
      <c r="J112" s="5" t="s">
        <v>247</v>
      </c>
      <c r="K112" s="6">
        <v>50.4</v>
      </c>
      <c r="L112" s="83">
        <v>0</v>
      </c>
      <c r="M112" s="103">
        <f t="shared" si="1"/>
        <v>50.4</v>
      </c>
    </row>
    <row r="113" spans="1:28" ht="13.5" customHeight="1" x14ac:dyDescent="0.2">
      <c r="A113" s="1">
        <v>249</v>
      </c>
      <c r="B113" s="1">
        <v>5</v>
      </c>
      <c r="C113" s="1">
        <v>45</v>
      </c>
      <c r="D113" s="1">
        <v>50</v>
      </c>
      <c r="E113" s="1" t="s">
        <v>546</v>
      </c>
      <c r="F113" s="5" t="s">
        <v>253</v>
      </c>
      <c r="G113" s="5">
        <v>45</v>
      </c>
      <c r="H113" s="5">
        <v>5220</v>
      </c>
      <c r="I113" s="5">
        <v>0</v>
      </c>
      <c r="J113" s="5" t="s">
        <v>247</v>
      </c>
      <c r="K113" s="6">
        <v>542.4</v>
      </c>
      <c r="L113" s="83">
        <f>VLOOKUP(F113, [4]Export1!$B$9:$H$237,7,FALSE)</f>
        <v>348</v>
      </c>
      <c r="M113" s="103">
        <f t="shared" si="1"/>
        <v>194.39999999999998</v>
      </c>
    </row>
    <row r="114" spans="1:28" s="7" customFormat="1" ht="13.5" customHeight="1" x14ac:dyDescent="0.2">
      <c r="A114" s="1">
        <v>266</v>
      </c>
      <c r="B114" s="1">
        <v>5</v>
      </c>
      <c r="C114" s="1">
        <v>60</v>
      </c>
      <c r="D114" s="1">
        <v>50</v>
      </c>
      <c r="E114" s="1" t="s">
        <v>546</v>
      </c>
      <c r="F114" s="5" t="s">
        <v>254</v>
      </c>
      <c r="G114" s="5">
        <v>60</v>
      </c>
      <c r="H114" s="5">
        <v>5220</v>
      </c>
      <c r="I114" s="5">
        <v>0</v>
      </c>
      <c r="J114" s="5" t="s">
        <v>247</v>
      </c>
      <c r="K114" s="6">
        <v>813.23</v>
      </c>
      <c r="L114" s="83">
        <f>VLOOKUP(F114, [4]Export1!$B$9:$H$237,7,FALSE)</f>
        <v>549.92999999999995</v>
      </c>
      <c r="M114" s="103">
        <f t="shared" si="1"/>
        <v>263.30000000000007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s="7" customFormat="1" ht="13.5" customHeight="1" x14ac:dyDescent="0.2">
      <c r="A115" s="1">
        <v>65</v>
      </c>
      <c r="B115" s="1">
        <v>5</v>
      </c>
      <c r="C115" s="1">
        <v>80</v>
      </c>
      <c r="D115" s="1">
        <v>50</v>
      </c>
      <c r="E115" s="1" t="s">
        <v>546</v>
      </c>
      <c r="F115" s="5" t="s">
        <v>223</v>
      </c>
      <c r="G115" s="5">
        <v>5</v>
      </c>
      <c r="H115" s="5">
        <v>5230</v>
      </c>
      <c r="I115" s="5">
        <v>0</v>
      </c>
      <c r="J115" s="5" t="s">
        <v>224</v>
      </c>
      <c r="K115" s="6">
        <v>568.62</v>
      </c>
      <c r="L115" s="83">
        <v>0</v>
      </c>
      <c r="M115" s="103">
        <f t="shared" si="1"/>
        <v>568.62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3.5" customHeight="1" x14ac:dyDescent="0.2">
      <c r="A116" s="1">
        <v>80</v>
      </c>
      <c r="B116" s="1">
        <v>5</v>
      </c>
      <c r="C116" s="1">
        <v>10</v>
      </c>
      <c r="D116" s="1">
        <v>50</v>
      </c>
      <c r="E116" s="1" t="s">
        <v>546</v>
      </c>
      <c r="F116" s="5" t="s">
        <v>172</v>
      </c>
      <c r="G116" s="5">
        <v>10</v>
      </c>
      <c r="H116" s="5">
        <v>5230</v>
      </c>
      <c r="I116" s="5">
        <v>0</v>
      </c>
      <c r="J116" s="5" t="s">
        <v>173</v>
      </c>
      <c r="K116" s="6">
        <v>5942.53</v>
      </c>
      <c r="L116" s="83">
        <f>VLOOKUP(F116, [4]Export1!$B$9:$H$237,7,FALSE)</f>
        <v>1887.85</v>
      </c>
      <c r="M116" s="103">
        <f t="shared" si="1"/>
        <v>4054.68</v>
      </c>
    </row>
    <row r="117" spans="1:28" ht="13.5" customHeight="1" x14ac:dyDescent="0.2">
      <c r="A117" s="1">
        <v>137</v>
      </c>
      <c r="B117" s="1">
        <v>5</v>
      </c>
      <c r="C117" s="1">
        <v>20</v>
      </c>
      <c r="D117" s="1">
        <v>50</v>
      </c>
      <c r="E117" s="1" t="s">
        <v>546</v>
      </c>
      <c r="F117" s="5" t="s">
        <v>174</v>
      </c>
      <c r="G117" s="5">
        <v>20</v>
      </c>
      <c r="H117" s="5">
        <v>5230</v>
      </c>
      <c r="I117" s="5">
        <v>0</v>
      </c>
      <c r="J117" s="5" t="s">
        <v>173</v>
      </c>
      <c r="K117" s="6">
        <v>1410.38</v>
      </c>
      <c r="L117" s="83">
        <f>VLOOKUP(F117, [4]Export1!$B$9:$H$237,7,FALSE)</f>
        <v>906.75</v>
      </c>
      <c r="M117" s="103">
        <f t="shared" si="1"/>
        <v>503.63000000000011</v>
      </c>
    </row>
    <row r="118" spans="1:28" ht="13.5" customHeight="1" x14ac:dyDescent="0.2">
      <c r="A118" s="1">
        <v>156</v>
      </c>
      <c r="B118" s="1">
        <v>1</v>
      </c>
      <c r="C118" s="1">
        <v>25</v>
      </c>
      <c r="D118" s="1">
        <v>15</v>
      </c>
      <c r="E118" s="1" t="s">
        <v>559</v>
      </c>
      <c r="F118" s="5" t="s">
        <v>175</v>
      </c>
      <c r="G118" s="5">
        <v>25</v>
      </c>
      <c r="H118" s="5">
        <v>5230</v>
      </c>
      <c r="I118" s="5">
        <v>0</v>
      </c>
      <c r="J118" s="5" t="s">
        <v>173</v>
      </c>
      <c r="K118" s="6">
        <v>2876.03</v>
      </c>
      <c r="L118" s="83">
        <f>VLOOKUP(F118, [4]Export1!$B$9:$H$237,7,FALSE)</f>
        <v>1098.45</v>
      </c>
      <c r="M118" s="103">
        <f t="shared" si="1"/>
        <v>1777.5800000000002</v>
      </c>
    </row>
    <row r="119" spans="1:28" ht="13.5" customHeight="1" x14ac:dyDescent="0.2">
      <c r="A119" s="1">
        <v>157</v>
      </c>
      <c r="B119" s="1">
        <v>1</v>
      </c>
      <c r="C119" s="1">
        <v>25</v>
      </c>
      <c r="D119" s="1">
        <v>15</v>
      </c>
      <c r="E119" s="1" t="s">
        <v>559</v>
      </c>
      <c r="F119" s="88" t="s">
        <v>566</v>
      </c>
      <c r="G119" s="88">
        <v>25</v>
      </c>
      <c r="H119" s="88">
        <v>5230</v>
      </c>
      <c r="I119" s="5">
        <v>28</v>
      </c>
      <c r="J119" s="5" t="s">
        <v>576</v>
      </c>
      <c r="K119" s="6"/>
      <c r="L119" s="83">
        <v>0</v>
      </c>
      <c r="M119" s="103">
        <f t="shared" si="1"/>
        <v>0</v>
      </c>
    </row>
    <row r="120" spans="1:28" s="7" customFormat="1" ht="13.5" customHeight="1" x14ac:dyDescent="0.2">
      <c r="A120" s="1">
        <v>189</v>
      </c>
      <c r="B120" s="1">
        <v>5</v>
      </c>
      <c r="C120" s="1">
        <v>35</v>
      </c>
      <c r="D120" s="1">
        <v>50</v>
      </c>
      <c r="E120" s="1" t="s">
        <v>546</v>
      </c>
      <c r="F120" s="5" t="s">
        <v>176</v>
      </c>
      <c r="G120" s="5">
        <v>35</v>
      </c>
      <c r="H120" s="5">
        <v>5230</v>
      </c>
      <c r="I120" s="5">
        <v>0</v>
      </c>
      <c r="J120" s="5" t="s">
        <v>173</v>
      </c>
      <c r="K120" s="6">
        <v>6772.44</v>
      </c>
      <c r="L120" s="83">
        <f>VLOOKUP(F120, [4]Export1!$B$9:$H$237,7,FALSE)</f>
        <v>3437.45</v>
      </c>
      <c r="M120" s="103">
        <f t="shared" si="1"/>
        <v>3334.99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3.5" customHeight="1" x14ac:dyDescent="0.2">
      <c r="A121" s="1">
        <v>216</v>
      </c>
      <c r="B121" s="1">
        <v>5</v>
      </c>
      <c r="C121" s="1">
        <v>36</v>
      </c>
      <c r="D121" s="1">
        <v>50</v>
      </c>
      <c r="E121" s="1" t="s">
        <v>546</v>
      </c>
      <c r="F121" s="5" t="s">
        <v>177</v>
      </c>
      <c r="G121" s="5">
        <v>36</v>
      </c>
      <c r="H121" s="5">
        <v>5230</v>
      </c>
      <c r="I121" s="5">
        <v>0</v>
      </c>
      <c r="J121" s="5" t="s">
        <v>173</v>
      </c>
      <c r="K121" s="6">
        <v>132.03</v>
      </c>
      <c r="L121" s="83">
        <f>VLOOKUP(F121, [4]Export1!$B$9:$H$237,7,FALSE)</f>
        <v>179.7</v>
      </c>
      <c r="M121" s="103">
        <f t="shared" si="1"/>
        <v>-47.669999999999987</v>
      </c>
    </row>
    <row r="122" spans="1:28" ht="13.5" customHeight="1" x14ac:dyDescent="0.2">
      <c r="A122" s="1">
        <v>241</v>
      </c>
      <c r="B122" s="1">
        <v>5</v>
      </c>
      <c r="C122" s="1">
        <v>40</v>
      </c>
      <c r="D122" s="1">
        <v>50</v>
      </c>
      <c r="E122" s="1" t="s">
        <v>546</v>
      </c>
      <c r="F122" s="5" t="s">
        <v>178</v>
      </c>
      <c r="G122" s="5">
        <v>40</v>
      </c>
      <c r="H122" s="5">
        <v>5230</v>
      </c>
      <c r="I122" s="5">
        <v>0</v>
      </c>
      <c r="J122" s="5" t="s">
        <v>173</v>
      </c>
      <c r="K122" s="6">
        <v>375.84</v>
      </c>
      <c r="L122" s="83">
        <v>0</v>
      </c>
      <c r="M122" s="103">
        <f t="shared" si="1"/>
        <v>375.84</v>
      </c>
    </row>
    <row r="123" spans="1:28" ht="13.5" customHeight="1" x14ac:dyDescent="0.2">
      <c r="A123" s="1">
        <v>250</v>
      </c>
      <c r="B123" s="1">
        <v>5</v>
      </c>
      <c r="C123" s="1">
        <v>45</v>
      </c>
      <c r="D123" s="1">
        <v>50</v>
      </c>
      <c r="E123" s="1" t="s">
        <v>546</v>
      </c>
      <c r="F123" s="5" t="s">
        <v>179</v>
      </c>
      <c r="G123" s="5">
        <v>45</v>
      </c>
      <c r="H123" s="5">
        <v>5230</v>
      </c>
      <c r="I123" s="5">
        <v>0</v>
      </c>
      <c r="J123" s="5" t="s">
        <v>173</v>
      </c>
      <c r="K123" s="6">
        <v>971.78</v>
      </c>
      <c r="L123" s="83">
        <f>VLOOKUP(F123, [4]Export1!$B$9:$H$237,7,FALSE)</f>
        <v>368.55</v>
      </c>
      <c r="M123" s="103">
        <f t="shared" si="1"/>
        <v>603.23</v>
      </c>
    </row>
    <row r="124" spans="1:28" ht="13.5" customHeight="1" x14ac:dyDescent="0.2">
      <c r="A124" s="1">
        <v>267</v>
      </c>
      <c r="B124" s="1">
        <v>5</v>
      </c>
      <c r="C124" s="1">
        <v>60</v>
      </c>
      <c r="D124" s="1">
        <v>50</v>
      </c>
      <c r="E124" s="1" t="s">
        <v>546</v>
      </c>
      <c r="F124" s="5" t="s">
        <v>180</v>
      </c>
      <c r="G124" s="5">
        <v>60</v>
      </c>
      <c r="H124" s="5">
        <v>5230</v>
      </c>
      <c r="I124" s="5">
        <v>0</v>
      </c>
      <c r="J124" s="5" t="s">
        <v>173</v>
      </c>
      <c r="K124" s="6">
        <v>1876.22</v>
      </c>
      <c r="L124" s="83">
        <f>VLOOKUP(F124, [4]Export1!$B$9:$H$237,7,FALSE)</f>
        <v>1315.4</v>
      </c>
      <c r="M124" s="103">
        <f t="shared" si="1"/>
        <v>560.81999999999994</v>
      </c>
    </row>
    <row r="125" spans="1:28" ht="13.5" customHeight="1" x14ac:dyDescent="0.2">
      <c r="A125" s="1">
        <v>66</v>
      </c>
      <c r="B125" s="1">
        <v>5</v>
      </c>
      <c r="C125" s="1">
        <v>80</v>
      </c>
      <c r="D125" s="1">
        <v>50</v>
      </c>
      <c r="E125" s="1" t="s">
        <v>546</v>
      </c>
      <c r="F125" s="5" t="s">
        <v>170</v>
      </c>
      <c r="G125" s="5">
        <v>5</v>
      </c>
      <c r="H125" s="5">
        <v>5240</v>
      </c>
      <c r="I125" s="5">
        <v>0</v>
      </c>
      <c r="J125" s="5" t="s">
        <v>171</v>
      </c>
      <c r="K125" s="6">
        <v>110.17</v>
      </c>
      <c r="L125" s="83">
        <v>0</v>
      </c>
      <c r="M125" s="103">
        <f t="shared" si="1"/>
        <v>110.17</v>
      </c>
    </row>
    <row r="126" spans="1:28" ht="13.5" customHeight="1" x14ac:dyDescent="0.2">
      <c r="A126" s="1">
        <v>81</v>
      </c>
      <c r="B126" s="1">
        <v>5</v>
      </c>
      <c r="C126" s="1">
        <v>10</v>
      </c>
      <c r="D126" s="1">
        <v>50</v>
      </c>
      <c r="E126" s="1" t="s">
        <v>546</v>
      </c>
      <c r="F126" s="5" t="s">
        <v>347</v>
      </c>
      <c r="G126" s="5">
        <v>10</v>
      </c>
      <c r="H126" s="5">
        <v>5240</v>
      </c>
      <c r="I126" s="5">
        <v>0</v>
      </c>
      <c r="J126" s="5" t="s">
        <v>348</v>
      </c>
      <c r="K126" s="6">
        <v>3353.45</v>
      </c>
      <c r="L126" s="83">
        <f>VLOOKUP(F126, [4]Export1!$B$9:$H$237,7,FALSE)</f>
        <v>1029.1400000000001</v>
      </c>
      <c r="M126" s="103">
        <f t="shared" si="1"/>
        <v>2324.3099999999995</v>
      </c>
    </row>
    <row r="127" spans="1:28" ht="13.5" customHeight="1" x14ac:dyDescent="0.2">
      <c r="A127" s="1">
        <v>138</v>
      </c>
      <c r="B127" s="1">
        <v>5</v>
      </c>
      <c r="C127" s="1">
        <v>20</v>
      </c>
      <c r="D127" s="1">
        <v>50</v>
      </c>
      <c r="E127" s="1" t="s">
        <v>546</v>
      </c>
      <c r="F127" s="5" t="s">
        <v>349</v>
      </c>
      <c r="G127" s="5">
        <v>20</v>
      </c>
      <c r="H127" s="5">
        <v>5240</v>
      </c>
      <c r="I127" s="5">
        <v>0</v>
      </c>
      <c r="J127" s="5" t="s">
        <v>348</v>
      </c>
      <c r="K127" s="6">
        <v>378.35</v>
      </c>
      <c r="L127" s="83">
        <f>VLOOKUP(F127, [4]Export1!$B$9:$H$237,7,FALSE)</f>
        <v>442.35</v>
      </c>
      <c r="M127" s="103">
        <f t="shared" si="1"/>
        <v>-64</v>
      </c>
    </row>
    <row r="128" spans="1:28" s="7" customFormat="1" ht="13.5" customHeight="1" x14ac:dyDescent="0.2">
      <c r="A128" s="1">
        <v>158</v>
      </c>
      <c r="B128" s="1">
        <v>1</v>
      </c>
      <c r="C128" s="1">
        <v>25</v>
      </c>
      <c r="D128" s="1">
        <v>15</v>
      </c>
      <c r="E128" s="1" t="s">
        <v>559</v>
      </c>
      <c r="F128" s="5" t="s">
        <v>356</v>
      </c>
      <c r="G128" s="5">
        <v>25</v>
      </c>
      <c r="H128" s="5">
        <v>5240</v>
      </c>
      <c r="I128" s="5">
        <v>0</v>
      </c>
      <c r="J128" s="5" t="s">
        <v>348</v>
      </c>
      <c r="K128" s="6">
        <v>456.98</v>
      </c>
      <c r="L128" s="83">
        <f>VLOOKUP(F128, [4]Export1!$B$9:$H$237,7,FALSE)</f>
        <v>253.5</v>
      </c>
      <c r="M128" s="103">
        <f t="shared" si="1"/>
        <v>203.48000000000002</v>
      </c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s="7" customFormat="1" ht="13.5" customHeight="1" x14ac:dyDescent="0.2">
      <c r="A129" s="1">
        <v>190</v>
      </c>
      <c r="B129" s="1">
        <v>5</v>
      </c>
      <c r="C129" s="1">
        <v>35</v>
      </c>
      <c r="D129" s="1">
        <v>50</v>
      </c>
      <c r="E129" s="1" t="s">
        <v>546</v>
      </c>
      <c r="F129" s="5" t="s">
        <v>357</v>
      </c>
      <c r="G129" s="5">
        <v>35</v>
      </c>
      <c r="H129" s="5">
        <v>5240</v>
      </c>
      <c r="I129" s="5">
        <v>0</v>
      </c>
      <c r="J129" s="5" t="s">
        <v>348</v>
      </c>
      <c r="K129" s="6">
        <v>1387.65</v>
      </c>
      <c r="L129" s="83">
        <f>VLOOKUP(F129, [4]Export1!$B$9:$H$237,7,FALSE)</f>
        <v>1369.48</v>
      </c>
      <c r="M129" s="103">
        <f t="shared" si="1"/>
        <v>18.170000000000073</v>
      </c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s="7" customFormat="1" ht="13.5" customHeight="1" x14ac:dyDescent="0.2">
      <c r="A130" s="1">
        <v>217</v>
      </c>
      <c r="B130" s="1">
        <v>5</v>
      </c>
      <c r="C130" s="1">
        <v>36</v>
      </c>
      <c r="D130" s="1">
        <v>50</v>
      </c>
      <c r="E130" s="1" t="s">
        <v>546</v>
      </c>
      <c r="F130" s="5" t="s">
        <v>358</v>
      </c>
      <c r="G130" s="5">
        <v>36</v>
      </c>
      <c r="H130" s="5">
        <v>5240</v>
      </c>
      <c r="I130" s="5">
        <v>0</v>
      </c>
      <c r="J130" s="5" t="s">
        <v>348</v>
      </c>
      <c r="K130" s="6">
        <v>31.49</v>
      </c>
      <c r="L130" s="83">
        <f>VLOOKUP(F130, [4]Export1!$B$9:$H$237,7,FALSE)</f>
        <v>107.87</v>
      </c>
      <c r="M130" s="103">
        <f t="shared" si="1"/>
        <v>-76.38000000000001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s="7" customFormat="1" ht="13.5" customHeight="1" x14ac:dyDescent="0.2">
      <c r="A131" s="1">
        <v>242</v>
      </c>
      <c r="B131" s="1">
        <v>5</v>
      </c>
      <c r="C131" s="1">
        <v>40</v>
      </c>
      <c r="D131" s="1">
        <v>50</v>
      </c>
      <c r="E131" s="1" t="s">
        <v>546</v>
      </c>
      <c r="F131" s="5" t="s">
        <v>359</v>
      </c>
      <c r="G131" s="5">
        <v>40</v>
      </c>
      <c r="H131" s="5">
        <v>5240</v>
      </c>
      <c r="I131" s="5">
        <v>0</v>
      </c>
      <c r="J131" s="5" t="s">
        <v>348</v>
      </c>
      <c r="K131" s="6">
        <v>109.89</v>
      </c>
      <c r="L131" s="83">
        <v>0</v>
      </c>
      <c r="M131" s="103">
        <f t="shared" ref="M131:M194" si="2">K131-L131</f>
        <v>109.89</v>
      </c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3.5" customHeight="1" x14ac:dyDescent="0.2">
      <c r="A132" s="1">
        <v>251</v>
      </c>
      <c r="B132" s="1">
        <v>5</v>
      </c>
      <c r="C132" s="1">
        <v>45</v>
      </c>
      <c r="D132" s="1">
        <v>50</v>
      </c>
      <c r="E132" s="1" t="s">
        <v>546</v>
      </c>
      <c r="F132" s="5" t="s">
        <v>360</v>
      </c>
      <c r="G132" s="5">
        <v>45</v>
      </c>
      <c r="H132" s="5">
        <v>5240</v>
      </c>
      <c r="I132" s="5">
        <v>0</v>
      </c>
      <c r="J132" s="5" t="s">
        <v>348</v>
      </c>
      <c r="K132" s="6">
        <v>-126.98</v>
      </c>
      <c r="L132" s="83">
        <f>VLOOKUP(F132, [4]Export1!$B$9:$H$237,7,FALSE)</f>
        <v>-80.099999999999994</v>
      </c>
      <c r="M132" s="103">
        <f t="shared" si="2"/>
        <v>-46.88000000000001</v>
      </c>
    </row>
    <row r="133" spans="1:28" s="7" customFormat="1" ht="13.5" customHeight="1" x14ac:dyDescent="0.2">
      <c r="A133" s="1">
        <v>268</v>
      </c>
      <c r="B133" s="1">
        <v>5</v>
      </c>
      <c r="C133" s="1">
        <v>60</v>
      </c>
      <c r="D133" s="1">
        <v>50</v>
      </c>
      <c r="E133" s="1" t="s">
        <v>546</v>
      </c>
      <c r="F133" s="5" t="s">
        <v>361</v>
      </c>
      <c r="G133" s="5">
        <v>60</v>
      </c>
      <c r="H133" s="5">
        <v>5240</v>
      </c>
      <c r="I133" s="5">
        <v>0</v>
      </c>
      <c r="J133" s="5" t="s">
        <v>348</v>
      </c>
      <c r="K133" s="6">
        <v>463.91</v>
      </c>
      <c r="L133" s="83">
        <f>VLOOKUP(F133, [4]Export1!$B$9:$H$237,7,FALSE)</f>
        <v>543.79999999999995</v>
      </c>
      <c r="M133" s="103">
        <f t="shared" si="2"/>
        <v>-79.88999999999993</v>
      </c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s="7" customFormat="1" ht="13.5" customHeight="1" x14ac:dyDescent="0.2">
      <c r="A134" s="1">
        <v>67</v>
      </c>
      <c r="B134" s="1">
        <v>5</v>
      </c>
      <c r="C134" s="1">
        <v>80</v>
      </c>
      <c r="D134" s="1">
        <v>50</v>
      </c>
      <c r="E134" s="1" t="s">
        <v>546</v>
      </c>
      <c r="F134" s="5" t="s">
        <v>232</v>
      </c>
      <c r="G134" s="5">
        <v>5</v>
      </c>
      <c r="H134" s="5">
        <v>5250</v>
      </c>
      <c r="I134" s="5">
        <v>0</v>
      </c>
      <c r="J134" s="5" t="s">
        <v>233</v>
      </c>
      <c r="K134" s="6">
        <v>324.7</v>
      </c>
      <c r="L134" s="83">
        <v>0</v>
      </c>
      <c r="M134" s="103">
        <f t="shared" si="2"/>
        <v>324.7</v>
      </c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s="7" customFormat="1" ht="13.5" customHeight="1" x14ac:dyDescent="0.2">
      <c r="A135" s="1">
        <v>82</v>
      </c>
      <c r="B135" s="1">
        <v>5</v>
      </c>
      <c r="C135" s="1">
        <v>10</v>
      </c>
      <c r="D135" s="1">
        <v>50</v>
      </c>
      <c r="E135" s="1" t="s">
        <v>546</v>
      </c>
      <c r="F135" s="5" t="s">
        <v>189</v>
      </c>
      <c r="G135" s="5">
        <v>10</v>
      </c>
      <c r="H135" s="5">
        <v>5250</v>
      </c>
      <c r="I135" s="5">
        <v>0</v>
      </c>
      <c r="J135" s="5" t="s">
        <v>190</v>
      </c>
      <c r="K135" s="6">
        <v>8503.9599999999991</v>
      </c>
      <c r="L135" s="83">
        <f>VLOOKUP(F135, [4]Export1!$B$9:$H$237,7,FALSE)</f>
        <v>5646.32</v>
      </c>
      <c r="M135" s="103">
        <f t="shared" si="2"/>
        <v>2857.6399999999994</v>
      </c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s="7" customFormat="1" ht="13.5" customHeight="1" x14ac:dyDescent="0.2">
      <c r="A136" s="1">
        <v>139</v>
      </c>
      <c r="B136" s="1">
        <v>5</v>
      </c>
      <c r="C136" s="1">
        <v>20</v>
      </c>
      <c r="D136" s="1">
        <v>50</v>
      </c>
      <c r="E136" s="1" t="s">
        <v>546</v>
      </c>
      <c r="F136" s="5" t="s">
        <v>191</v>
      </c>
      <c r="G136" s="5">
        <v>20</v>
      </c>
      <c r="H136" s="5">
        <v>5250</v>
      </c>
      <c r="I136" s="5">
        <v>0</v>
      </c>
      <c r="J136" s="5" t="s">
        <v>190</v>
      </c>
      <c r="K136" s="6">
        <v>2166.7600000000002</v>
      </c>
      <c r="L136" s="83">
        <f>VLOOKUP(F136, [4]Export1!$B$9:$H$237,7,FALSE)</f>
        <v>3012.04</v>
      </c>
      <c r="M136" s="103">
        <f t="shared" si="2"/>
        <v>-845.27999999999975</v>
      </c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s="7" customFormat="1" ht="13.5" customHeight="1" x14ac:dyDescent="0.2">
      <c r="A137" s="1">
        <v>159</v>
      </c>
      <c r="B137" s="1">
        <v>1</v>
      </c>
      <c r="C137" s="1">
        <v>25</v>
      </c>
      <c r="D137" s="1">
        <v>15</v>
      </c>
      <c r="E137" s="1" t="s">
        <v>559</v>
      </c>
      <c r="F137" s="5" t="s">
        <v>192</v>
      </c>
      <c r="G137" s="5">
        <v>25</v>
      </c>
      <c r="H137" s="5">
        <v>5250</v>
      </c>
      <c r="I137" s="5">
        <v>0</v>
      </c>
      <c r="J137" s="5" t="s">
        <v>190</v>
      </c>
      <c r="K137" s="6">
        <v>1605.29</v>
      </c>
      <c r="L137" s="83">
        <f>VLOOKUP(F137, [4]Export1!$B$9:$H$237,7,FALSE)</f>
        <v>851.72</v>
      </c>
      <c r="M137" s="103">
        <f t="shared" si="2"/>
        <v>753.56999999999994</v>
      </c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s="7" customFormat="1" ht="13.5" customHeight="1" x14ac:dyDescent="0.2">
      <c r="A138" s="1">
        <v>191</v>
      </c>
      <c r="B138" s="1">
        <v>5</v>
      </c>
      <c r="C138" s="1">
        <v>35</v>
      </c>
      <c r="D138" s="1">
        <v>50</v>
      </c>
      <c r="E138" s="1" t="s">
        <v>546</v>
      </c>
      <c r="F138" s="5" t="s">
        <v>193</v>
      </c>
      <c r="G138" s="5">
        <v>35</v>
      </c>
      <c r="H138" s="5">
        <v>5250</v>
      </c>
      <c r="I138" s="5">
        <v>0</v>
      </c>
      <c r="J138" s="5" t="s">
        <v>190</v>
      </c>
      <c r="K138" s="6">
        <v>8893.75</v>
      </c>
      <c r="L138" s="83">
        <f>VLOOKUP(F138, [4]Export1!$B$9:$H$237,7,FALSE)</f>
        <v>6501.04</v>
      </c>
      <c r="M138" s="103">
        <f t="shared" si="2"/>
        <v>2392.71</v>
      </c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3.5" customHeight="1" x14ac:dyDescent="0.2">
      <c r="A139" s="1">
        <v>218</v>
      </c>
      <c r="B139" s="1">
        <v>5</v>
      </c>
      <c r="C139" s="1">
        <v>36</v>
      </c>
      <c r="D139" s="1">
        <v>50</v>
      </c>
      <c r="E139" s="1" t="s">
        <v>546</v>
      </c>
      <c r="F139" s="5" t="s">
        <v>194</v>
      </c>
      <c r="G139" s="5">
        <v>36</v>
      </c>
      <c r="H139" s="5">
        <v>5250</v>
      </c>
      <c r="I139" s="5">
        <v>0</v>
      </c>
      <c r="J139" s="5" t="s">
        <v>190</v>
      </c>
      <c r="K139" s="6">
        <v>96.77</v>
      </c>
      <c r="L139" s="83">
        <f>VLOOKUP(F139, [4]Export1!$B$9:$H$237,7,FALSE)</f>
        <v>693.98</v>
      </c>
      <c r="M139" s="103">
        <f t="shared" si="2"/>
        <v>-597.21</v>
      </c>
    </row>
    <row r="140" spans="1:28" ht="13.5" customHeight="1" x14ac:dyDescent="0.2">
      <c r="A140" s="1">
        <v>243</v>
      </c>
      <c r="B140" s="1">
        <v>5</v>
      </c>
      <c r="C140" s="1">
        <v>40</v>
      </c>
      <c r="D140" s="1">
        <v>50</v>
      </c>
      <c r="E140" s="1" t="s">
        <v>546</v>
      </c>
      <c r="F140" s="5" t="s">
        <v>195</v>
      </c>
      <c r="G140" s="5">
        <v>40</v>
      </c>
      <c r="H140" s="5">
        <v>5250</v>
      </c>
      <c r="I140" s="5">
        <v>0</v>
      </c>
      <c r="J140" s="5" t="s">
        <v>190</v>
      </c>
      <c r="K140" s="6">
        <v>201.01</v>
      </c>
      <c r="L140" s="83">
        <v>0</v>
      </c>
      <c r="M140" s="103">
        <f t="shared" si="2"/>
        <v>201.01</v>
      </c>
    </row>
    <row r="141" spans="1:28" ht="13.5" customHeight="1" x14ac:dyDescent="0.2">
      <c r="A141" s="1">
        <v>252</v>
      </c>
      <c r="B141" s="1">
        <v>5</v>
      </c>
      <c r="C141" s="1">
        <v>45</v>
      </c>
      <c r="D141" s="1">
        <v>50</v>
      </c>
      <c r="E141" s="1" t="s">
        <v>546</v>
      </c>
      <c r="F141" s="5" t="s">
        <v>196</v>
      </c>
      <c r="G141" s="5">
        <v>45</v>
      </c>
      <c r="H141" s="5">
        <v>5250</v>
      </c>
      <c r="I141" s="5">
        <v>0</v>
      </c>
      <c r="J141" s="5" t="s">
        <v>190</v>
      </c>
      <c r="K141" s="6">
        <v>1280.28</v>
      </c>
      <c r="L141" s="83">
        <f>VLOOKUP(F141, [4]Export1!$B$9:$H$237,7,FALSE)</f>
        <v>1218.8900000000001</v>
      </c>
      <c r="M141" s="103">
        <f t="shared" si="2"/>
        <v>61.389999999999873</v>
      </c>
    </row>
    <row r="142" spans="1:28" ht="13.5" customHeight="1" x14ac:dyDescent="0.2">
      <c r="A142" s="1">
        <v>269</v>
      </c>
      <c r="B142" s="1">
        <v>5</v>
      </c>
      <c r="C142" s="1">
        <v>60</v>
      </c>
      <c r="D142" s="1">
        <v>50</v>
      </c>
      <c r="E142" s="1" t="s">
        <v>546</v>
      </c>
      <c r="F142" s="5" t="s">
        <v>197</v>
      </c>
      <c r="G142" s="5">
        <v>60</v>
      </c>
      <c r="H142" s="5">
        <v>5250</v>
      </c>
      <c r="I142" s="5">
        <v>0</v>
      </c>
      <c r="J142" s="5" t="s">
        <v>190</v>
      </c>
      <c r="K142" s="6">
        <v>2236.8000000000002</v>
      </c>
      <c r="L142" s="83">
        <f>VLOOKUP(F142, [4]Export1!$B$9:$H$237,7,FALSE)</f>
        <v>2381.42</v>
      </c>
      <c r="M142" s="103">
        <f t="shared" si="2"/>
        <v>-144.61999999999989</v>
      </c>
    </row>
    <row r="143" spans="1:28" ht="13.5" customHeight="1" x14ac:dyDescent="0.2">
      <c r="A143" s="1">
        <v>68</v>
      </c>
      <c r="B143" s="1">
        <v>5</v>
      </c>
      <c r="C143" s="1">
        <v>80</v>
      </c>
      <c r="D143" s="1">
        <v>50</v>
      </c>
      <c r="E143" s="1" t="s">
        <v>546</v>
      </c>
      <c r="F143" s="5" t="s">
        <v>219</v>
      </c>
      <c r="G143" s="5">
        <v>5</v>
      </c>
      <c r="H143" s="5">
        <v>5270</v>
      </c>
      <c r="I143" s="5">
        <v>0</v>
      </c>
      <c r="J143" s="5" t="s">
        <v>220</v>
      </c>
      <c r="K143" s="6">
        <v>424.38</v>
      </c>
      <c r="L143" s="83">
        <v>0</v>
      </c>
      <c r="M143" s="103">
        <f t="shared" si="2"/>
        <v>424.38</v>
      </c>
    </row>
    <row r="144" spans="1:28" ht="13.5" customHeight="1" x14ac:dyDescent="0.2">
      <c r="A144" s="1">
        <v>83</v>
      </c>
      <c r="B144" s="1">
        <v>5</v>
      </c>
      <c r="C144" s="1">
        <v>10</v>
      </c>
      <c r="D144" s="1">
        <v>50</v>
      </c>
      <c r="E144" s="1" t="s">
        <v>546</v>
      </c>
      <c r="F144" s="5" t="s">
        <v>123</v>
      </c>
      <c r="G144" s="5">
        <v>10</v>
      </c>
      <c r="H144" s="5">
        <v>5270</v>
      </c>
      <c r="I144" s="5">
        <v>0</v>
      </c>
      <c r="J144" s="5" t="s">
        <v>124</v>
      </c>
      <c r="K144" s="6">
        <v>13573.67</v>
      </c>
      <c r="L144" s="83">
        <f>VLOOKUP(F144, [4]Export1!$B$9:$H$237,7,FALSE)</f>
        <v>17488.310000000001</v>
      </c>
      <c r="M144" s="103">
        <f t="shared" si="2"/>
        <v>-3914.6400000000012</v>
      </c>
    </row>
    <row r="145" spans="1:13" ht="13.5" customHeight="1" x14ac:dyDescent="0.2">
      <c r="A145" s="1">
        <v>140</v>
      </c>
      <c r="B145" s="1">
        <v>5</v>
      </c>
      <c r="C145" s="1">
        <v>20</v>
      </c>
      <c r="D145" s="1">
        <v>50</v>
      </c>
      <c r="E145" s="1" t="s">
        <v>546</v>
      </c>
      <c r="F145" s="5" t="s">
        <v>125</v>
      </c>
      <c r="G145" s="5">
        <v>20</v>
      </c>
      <c r="H145" s="5">
        <v>5270</v>
      </c>
      <c r="I145" s="5">
        <v>0</v>
      </c>
      <c r="J145" s="5" t="s">
        <v>124</v>
      </c>
      <c r="K145" s="6">
        <v>14040.15</v>
      </c>
      <c r="L145" s="83">
        <f>VLOOKUP(F145, [4]Export1!$B$9:$H$237,7,FALSE)</f>
        <v>22512.23</v>
      </c>
      <c r="M145" s="103">
        <f t="shared" si="2"/>
        <v>-8472.08</v>
      </c>
    </row>
    <row r="146" spans="1:13" ht="13.5" customHeight="1" x14ac:dyDescent="0.2">
      <c r="A146" s="1">
        <v>160</v>
      </c>
      <c r="B146" s="1">
        <v>1</v>
      </c>
      <c r="C146" s="1">
        <v>25</v>
      </c>
      <c r="D146" s="1">
        <v>15</v>
      </c>
      <c r="E146" s="1" t="s">
        <v>559</v>
      </c>
      <c r="F146" s="5" t="s">
        <v>126</v>
      </c>
      <c r="G146" s="5">
        <v>25</v>
      </c>
      <c r="H146" s="5">
        <v>5270</v>
      </c>
      <c r="I146" s="5">
        <v>0</v>
      </c>
      <c r="J146" s="5" t="s">
        <v>124</v>
      </c>
      <c r="K146" s="6">
        <v>12796.07</v>
      </c>
      <c r="L146" s="83">
        <f>VLOOKUP(F146, [4]Export1!$B$9:$H$237,7,FALSE)</f>
        <v>3897.1</v>
      </c>
      <c r="M146" s="103">
        <f t="shared" si="2"/>
        <v>8898.9699999999993</v>
      </c>
    </row>
    <row r="147" spans="1:13" ht="13.5" customHeight="1" x14ac:dyDescent="0.2">
      <c r="A147" s="1">
        <v>192</v>
      </c>
      <c r="B147" s="1">
        <v>5</v>
      </c>
      <c r="C147" s="1">
        <v>35</v>
      </c>
      <c r="D147" s="1">
        <v>50</v>
      </c>
      <c r="E147" s="1" t="s">
        <v>546</v>
      </c>
      <c r="F147" s="5" t="s">
        <v>127</v>
      </c>
      <c r="G147" s="5">
        <v>35</v>
      </c>
      <c r="H147" s="5">
        <v>5270</v>
      </c>
      <c r="I147" s="5">
        <v>0</v>
      </c>
      <c r="J147" s="5" t="s">
        <v>124</v>
      </c>
      <c r="K147" s="6">
        <v>56284.21</v>
      </c>
      <c r="L147" s="83">
        <f>VLOOKUP(F147, [4]Export1!$B$9:$H$237,7,FALSE)</f>
        <v>36838.74</v>
      </c>
      <c r="M147" s="103">
        <f t="shared" si="2"/>
        <v>19445.47</v>
      </c>
    </row>
    <row r="148" spans="1:13" ht="13.5" customHeight="1" x14ac:dyDescent="0.2">
      <c r="A148" s="1">
        <v>219</v>
      </c>
      <c r="B148" s="1">
        <v>5</v>
      </c>
      <c r="C148" s="1">
        <v>36</v>
      </c>
      <c r="D148" s="1">
        <v>50</v>
      </c>
      <c r="E148" s="1" t="s">
        <v>546</v>
      </c>
      <c r="F148" s="5" t="s">
        <v>128</v>
      </c>
      <c r="G148" s="5">
        <v>36</v>
      </c>
      <c r="H148" s="5">
        <v>5270</v>
      </c>
      <c r="I148" s="5">
        <v>0</v>
      </c>
      <c r="J148" s="5" t="s">
        <v>124</v>
      </c>
      <c r="K148" s="6">
        <v>65.62</v>
      </c>
      <c r="L148" s="83">
        <f>VLOOKUP(F148, [4]Export1!$B$9:$H$237,7,FALSE)</f>
        <v>5863.16</v>
      </c>
      <c r="M148" s="103">
        <f t="shared" si="2"/>
        <v>-5797.54</v>
      </c>
    </row>
    <row r="149" spans="1:13" ht="13.5" customHeight="1" x14ac:dyDescent="0.2">
      <c r="A149" s="1">
        <v>244</v>
      </c>
      <c r="B149" s="1">
        <v>5</v>
      </c>
      <c r="C149" s="1">
        <v>40</v>
      </c>
      <c r="D149" s="1">
        <v>50</v>
      </c>
      <c r="E149" s="1" t="s">
        <v>546</v>
      </c>
      <c r="F149" s="5" t="s">
        <v>129</v>
      </c>
      <c r="G149" s="5">
        <v>40</v>
      </c>
      <c r="H149" s="5">
        <v>5270</v>
      </c>
      <c r="I149" s="5">
        <v>0</v>
      </c>
      <c r="J149" s="5" t="s">
        <v>124</v>
      </c>
      <c r="K149" s="6">
        <v>93.07</v>
      </c>
      <c r="L149" s="83">
        <v>0</v>
      </c>
      <c r="M149" s="103">
        <f t="shared" si="2"/>
        <v>93.07</v>
      </c>
    </row>
    <row r="150" spans="1:13" ht="13.5" customHeight="1" x14ac:dyDescent="0.2">
      <c r="A150" s="1">
        <v>253</v>
      </c>
      <c r="B150" s="1">
        <v>5</v>
      </c>
      <c r="C150" s="1">
        <v>45</v>
      </c>
      <c r="D150" s="1">
        <v>50</v>
      </c>
      <c r="E150" s="1" t="s">
        <v>546</v>
      </c>
      <c r="F150" s="5" t="s">
        <v>130</v>
      </c>
      <c r="G150" s="5">
        <v>45</v>
      </c>
      <c r="H150" s="5">
        <v>5270</v>
      </c>
      <c r="I150" s="5">
        <v>0</v>
      </c>
      <c r="J150" s="5" t="s">
        <v>124</v>
      </c>
      <c r="K150" s="6">
        <v>16923.53</v>
      </c>
      <c r="L150" s="83">
        <f>VLOOKUP(F150, [4]Export1!$B$9:$H$237,7,FALSE)</f>
        <v>8469.2199999999993</v>
      </c>
      <c r="M150" s="103">
        <f t="shared" si="2"/>
        <v>8454.31</v>
      </c>
    </row>
    <row r="151" spans="1:13" ht="13.5" customHeight="1" x14ac:dyDescent="0.2">
      <c r="A151" s="1">
        <v>270</v>
      </c>
      <c r="B151" s="1">
        <v>5</v>
      </c>
      <c r="C151" s="1">
        <v>60</v>
      </c>
      <c r="D151" s="1">
        <v>50</v>
      </c>
      <c r="E151" s="1" t="s">
        <v>546</v>
      </c>
      <c r="F151" s="5" t="s">
        <v>131</v>
      </c>
      <c r="G151" s="5">
        <v>60</v>
      </c>
      <c r="H151" s="5">
        <v>5270</v>
      </c>
      <c r="I151" s="5">
        <v>0</v>
      </c>
      <c r="J151" s="5" t="s">
        <v>124</v>
      </c>
      <c r="K151" s="6">
        <v>18944.03</v>
      </c>
      <c r="L151" s="83">
        <f>VLOOKUP(F151, [4]Export1!$B$9:$H$237,7,FALSE)</f>
        <v>23104.66</v>
      </c>
      <c r="M151" s="103">
        <f t="shared" si="2"/>
        <v>-4160.630000000001</v>
      </c>
    </row>
    <row r="152" spans="1:13" ht="13.5" customHeight="1" x14ac:dyDescent="0.2">
      <c r="A152" s="1">
        <v>161</v>
      </c>
      <c r="B152" s="1">
        <v>1</v>
      </c>
      <c r="C152" s="1">
        <v>25</v>
      </c>
      <c r="D152" s="1">
        <v>15</v>
      </c>
      <c r="E152" s="1" t="s">
        <v>559</v>
      </c>
      <c r="F152" s="5" t="s">
        <v>375</v>
      </c>
      <c r="G152" s="5">
        <v>25</v>
      </c>
      <c r="H152" s="5">
        <v>5280</v>
      </c>
      <c r="I152" s="5">
        <v>0</v>
      </c>
      <c r="J152" s="5" t="s">
        <v>376</v>
      </c>
      <c r="K152" s="6"/>
      <c r="L152" s="83">
        <f>VLOOKUP(F152, [4]Export1!$B$9:$H$237,7,FALSE)</f>
        <v>-51031.93</v>
      </c>
      <c r="M152" s="103">
        <f t="shared" si="2"/>
        <v>51031.93</v>
      </c>
    </row>
    <row r="153" spans="1:13" ht="13.5" customHeight="1" x14ac:dyDescent="0.2">
      <c r="A153" s="1">
        <v>69</v>
      </c>
      <c r="B153" s="1">
        <v>5</v>
      </c>
      <c r="C153" s="1">
        <v>80</v>
      </c>
      <c r="D153" s="1">
        <v>60</v>
      </c>
      <c r="E153" s="1" t="s">
        <v>336</v>
      </c>
      <c r="F153" s="5" t="s">
        <v>242</v>
      </c>
      <c r="G153" s="5">
        <v>5</v>
      </c>
      <c r="H153" s="5">
        <v>5300</v>
      </c>
      <c r="I153" s="5">
        <v>0</v>
      </c>
      <c r="J153" s="5" t="s">
        <v>243</v>
      </c>
      <c r="K153" s="6">
        <v>139.32</v>
      </c>
      <c r="L153" s="83">
        <v>0</v>
      </c>
      <c r="M153" s="103">
        <f t="shared" si="2"/>
        <v>139.32</v>
      </c>
    </row>
    <row r="154" spans="1:13" ht="13.5" customHeight="1" x14ac:dyDescent="0.2">
      <c r="A154" s="1">
        <v>84</v>
      </c>
      <c r="B154" s="1">
        <v>5</v>
      </c>
      <c r="C154" s="1">
        <v>10</v>
      </c>
      <c r="D154" s="1">
        <v>60</v>
      </c>
      <c r="E154" s="1" t="s">
        <v>336</v>
      </c>
      <c r="F154" s="5" t="s">
        <v>342</v>
      </c>
      <c r="G154" s="5">
        <v>10</v>
      </c>
      <c r="H154" s="5">
        <v>5300</v>
      </c>
      <c r="I154" s="5">
        <v>0</v>
      </c>
      <c r="J154" s="5" t="s">
        <v>336</v>
      </c>
      <c r="K154" s="6">
        <v>10159.469999999999</v>
      </c>
      <c r="L154" s="83">
        <f>VLOOKUP(F154, [4]Export1!$B$9:$H$237,7,FALSE)</f>
        <v>3946.97</v>
      </c>
      <c r="M154" s="103">
        <f t="shared" si="2"/>
        <v>6212.5</v>
      </c>
    </row>
    <row r="155" spans="1:13" ht="13.5" customHeight="1" x14ac:dyDescent="0.2">
      <c r="A155" s="1">
        <v>141</v>
      </c>
      <c r="B155" s="1">
        <v>5</v>
      </c>
      <c r="C155" s="1">
        <v>20</v>
      </c>
      <c r="D155" s="1">
        <v>60</v>
      </c>
      <c r="E155" s="1" t="s">
        <v>336</v>
      </c>
      <c r="F155" s="5" t="s">
        <v>335</v>
      </c>
      <c r="G155" s="5">
        <v>20</v>
      </c>
      <c r="H155" s="5">
        <v>5300</v>
      </c>
      <c r="I155" s="5">
        <v>0</v>
      </c>
      <c r="J155" s="5" t="s">
        <v>336</v>
      </c>
      <c r="K155" s="6">
        <v>3757.18</v>
      </c>
      <c r="L155" s="83">
        <f>VLOOKUP(F155, [4]Export1!$B$9:$H$237,7,FALSE)</f>
        <v>151.54</v>
      </c>
      <c r="M155" s="103">
        <f t="shared" si="2"/>
        <v>3605.64</v>
      </c>
    </row>
    <row r="156" spans="1:13" ht="13.5" customHeight="1" x14ac:dyDescent="0.2">
      <c r="A156" s="1">
        <v>162</v>
      </c>
      <c r="B156" s="1">
        <v>1</v>
      </c>
      <c r="C156" s="1">
        <v>25</v>
      </c>
      <c r="D156" s="1">
        <v>15</v>
      </c>
      <c r="E156" s="1" t="s">
        <v>559</v>
      </c>
      <c r="F156" s="5" t="s">
        <v>337</v>
      </c>
      <c r="G156" s="5">
        <v>25</v>
      </c>
      <c r="H156" s="5">
        <v>5300</v>
      </c>
      <c r="I156" s="5">
        <v>0</v>
      </c>
      <c r="J156" s="5" t="s">
        <v>336</v>
      </c>
      <c r="K156" s="6">
        <v>2522.1799999999998</v>
      </c>
      <c r="L156" s="83">
        <f>VLOOKUP(F156, [4]Export1!$B$9:$H$237,7,FALSE)</f>
        <v>159</v>
      </c>
      <c r="M156" s="103">
        <f t="shared" si="2"/>
        <v>2363.1799999999998</v>
      </c>
    </row>
    <row r="157" spans="1:13" ht="13.5" customHeight="1" x14ac:dyDescent="0.2">
      <c r="A157" s="1">
        <v>163</v>
      </c>
      <c r="B157" s="1">
        <v>1</v>
      </c>
      <c r="C157" s="1">
        <v>25</v>
      </c>
      <c r="D157" s="1">
        <v>15</v>
      </c>
      <c r="E157" s="1" t="s">
        <v>559</v>
      </c>
      <c r="F157" s="5" t="s">
        <v>530</v>
      </c>
      <c r="G157" s="5">
        <v>25</v>
      </c>
      <c r="H157" s="5">
        <v>5300</v>
      </c>
      <c r="I157" s="5">
        <v>28</v>
      </c>
      <c r="J157" t="s">
        <v>536</v>
      </c>
      <c r="K157" s="6"/>
      <c r="L157" s="83">
        <f>VLOOKUP(F157, [4]Export1!$B$9:$H$237,7,FALSE)</f>
        <v>-159</v>
      </c>
      <c r="M157" s="103">
        <f t="shared" si="2"/>
        <v>159</v>
      </c>
    </row>
    <row r="158" spans="1:13" ht="13.5" customHeight="1" x14ac:dyDescent="0.2">
      <c r="A158" s="1">
        <v>193</v>
      </c>
      <c r="B158" s="1">
        <v>5</v>
      </c>
      <c r="C158" s="1">
        <v>35</v>
      </c>
      <c r="D158" s="1">
        <v>60</v>
      </c>
      <c r="E158" s="1" t="s">
        <v>336</v>
      </c>
      <c r="F158" s="5" t="s">
        <v>341</v>
      </c>
      <c r="G158" s="5">
        <v>35</v>
      </c>
      <c r="H158" s="5">
        <v>5300</v>
      </c>
      <c r="I158" s="5">
        <v>0</v>
      </c>
      <c r="J158" s="5" t="s">
        <v>336</v>
      </c>
      <c r="K158" s="6">
        <v>20286.16</v>
      </c>
      <c r="L158" s="83">
        <f>VLOOKUP(F158, [4]Export1!$B$9:$H$237,7,FALSE)</f>
        <v>19984.25</v>
      </c>
      <c r="M158" s="103">
        <f t="shared" si="2"/>
        <v>301.90999999999985</v>
      </c>
    </row>
    <row r="159" spans="1:13" ht="13.5" customHeight="1" x14ac:dyDescent="0.2">
      <c r="A159" s="1">
        <v>220</v>
      </c>
      <c r="B159" s="1">
        <v>5</v>
      </c>
      <c r="C159" s="1">
        <v>0</v>
      </c>
      <c r="D159" s="1">
        <v>60</v>
      </c>
      <c r="E159" s="1" t="s">
        <v>336</v>
      </c>
      <c r="F159" s="5" t="s">
        <v>340</v>
      </c>
      <c r="G159" s="5">
        <v>36</v>
      </c>
      <c r="H159" s="5">
        <v>5300</v>
      </c>
      <c r="I159" s="5">
        <v>0</v>
      </c>
      <c r="J159" s="5" t="s">
        <v>336</v>
      </c>
      <c r="K159" s="6"/>
      <c r="L159" s="83">
        <f>VLOOKUP(F159, [4]Export1!$B$9:$H$237,7,FALSE)</f>
        <v>15744.57</v>
      </c>
      <c r="M159" s="103">
        <f t="shared" si="2"/>
        <v>-15744.57</v>
      </c>
    </row>
    <row r="160" spans="1:13" ht="13.5" customHeight="1" x14ac:dyDescent="0.2">
      <c r="A160" s="1">
        <v>254</v>
      </c>
      <c r="B160" s="1">
        <v>5</v>
      </c>
      <c r="C160" s="1">
        <v>45</v>
      </c>
      <c r="D160" s="1">
        <v>60</v>
      </c>
      <c r="E160" s="1" t="s">
        <v>336</v>
      </c>
      <c r="F160" s="5" t="s">
        <v>338</v>
      </c>
      <c r="G160" s="5">
        <v>45</v>
      </c>
      <c r="H160" s="5">
        <v>5300</v>
      </c>
      <c r="I160" s="5">
        <v>0</v>
      </c>
      <c r="J160" s="5" t="s">
        <v>336</v>
      </c>
      <c r="K160" s="6">
        <v>81.12</v>
      </c>
      <c r="L160" s="83">
        <v>0</v>
      </c>
      <c r="M160" s="103">
        <f t="shared" si="2"/>
        <v>81.12</v>
      </c>
    </row>
    <row r="161" spans="1:13" ht="13.5" customHeight="1" x14ac:dyDescent="0.2">
      <c r="A161" s="1">
        <v>271</v>
      </c>
      <c r="B161" s="1">
        <v>5</v>
      </c>
      <c r="C161" s="1">
        <v>60</v>
      </c>
      <c r="D161" s="1">
        <v>60</v>
      </c>
      <c r="E161" s="1" t="s">
        <v>336</v>
      </c>
      <c r="F161" s="5" t="s">
        <v>339</v>
      </c>
      <c r="G161" s="5">
        <v>60</v>
      </c>
      <c r="H161" s="5">
        <v>5300</v>
      </c>
      <c r="I161" s="5">
        <v>0</v>
      </c>
      <c r="J161" s="5" t="s">
        <v>336</v>
      </c>
      <c r="K161" s="6"/>
      <c r="L161" s="83">
        <f>VLOOKUP(F161, [4]Export1!$B$9:$H$237,7,FALSE)</f>
        <v>254.66</v>
      </c>
      <c r="M161" s="103">
        <f t="shared" si="2"/>
        <v>-254.66</v>
      </c>
    </row>
    <row r="162" spans="1:13" ht="13.5" customHeight="1" x14ac:dyDescent="0.2">
      <c r="A162" s="1">
        <v>85</v>
      </c>
      <c r="B162" s="1">
        <v>5</v>
      </c>
      <c r="C162" s="1">
        <v>10</v>
      </c>
      <c r="D162" s="1">
        <v>62</v>
      </c>
      <c r="E162" s="1" t="s">
        <v>548</v>
      </c>
      <c r="F162" s="5" t="s">
        <v>132</v>
      </c>
      <c r="G162" s="5">
        <v>10</v>
      </c>
      <c r="H162" s="5">
        <v>5310</v>
      </c>
      <c r="I162" s="5">
        <v>0</v>
      </c>
      <c r="J162" s="5" t="s">
        <v>133</v>
      </c>
      <c r="K162" s="6">
        <v>6927.96</v>
      </c>
      <c r="L162" s="83">
        <f>VLOOKUP(F162, [4]Export1!$B$9:$H$237,7,FALSE)</f>
        <v>6173.44</v>
      </c>
      <c r="M162" s="103">
        <f t="shared" si="2"/>
        <v>754.52000000000044</v>
      </c>
    </row>
    <row r="163" spans="1:13" ht="13.5" customHeight="1" x14ac:dyDescent="0.2">
      <c r="A163" s="1">
        <v>142</v>
      </c>
      <c r="B163" s="1">
        <v>5</v>
      </c>
      <c r="C163" s="1">
        <v>20</v>
      </c>
      <c r="D163" s="1">
        <v>62</v>
      </c>
      <c r="E163" s="1" t="s">
        <v>548</v>
      </c>
      <c r="F163" s="5" t="s">
        <v>231</v>
      </c>
      <c r="G163" s="5">
        <v>20</v>
      </c>
      <c r="H163" s="5">
        <v>5310</v>
      </c>
      <c r="I163" s="5">
        <v>0</v>
      </c>
      <c r="J163" s="5" t="s">
        <v>133</v>
      </c>
      <c r="K163" s="6">
        <v>4156.1000000000004</v>
      </c>
      <c r="L163" s="83">
        <f>VLOOKUP(F163, [4]Export1!$B$9:$H$237,7,FALSE)</f>
        <v>1500</v>
      </c>
      <c r="M163" s="103">
        <f t="shared" si="2"/>
        <v>2656.1000000000004</v>
      </c>
    </row>
    <row r="164" spans="1:13" ht="13.5" customHeight="1" x14ac:dyDescent="0.2">
      <c r="A164" s="1">
        <v>164</v>
      </c>
      <c r="B164" s="1">
        <v>1</v>
      </c>
      <c r="C164" s="1">
        <v>25</v>
      </c>
      <c r="D164" s="1">
        <v>15</v>
      </c>
      <c r="E164" s="1" t="s">
        <v>559</v>
      </c>
      <c r="F164" s="5" t="s">
        <v>238</v>
      </c>
      <c r="G164" s="5">
        <v>25</v>
      </c>
      <c r="H164" s="5">
        <v>5310</v>
      </c>
      <c r="I164" s="5">
        <v>0</v>
      </c>
      <c r="J164" s="5" t="s">
        <v>133</v>
      </c>
      <c r="K164" s="6">
        <v>1245</v>
      </c>
      <c r="L164" s="83">
        <v>0</v>
      </c>
      <c r="M164" s="103">
        <f t="shared" si="2"/>
        <v>1245</v>
      </c>
    </row>
    <row r="165" spans="1:13" ht="13.5" customHeight="1" x14ac:dyDescent="0.2">
      <c r="A165" s="1">
        <v>194</v>
      </c>
      <c r="B165" s="1">
        <v>5</v>
      </c>
      <c r="C165" s="1">
        <v>35</v>
      </c>
      <c r="D165" s="1">
        <v>62</v>
      </c>
      <c r="E165" s="1" t="s">
        <v>548</v>
      </c>
      <c r="F165" s="5" t="s">
        <v>239</v>
      </c>
      <c r="G165" s="5">
        <v>35</v>
      </c>
      <c r="H165" s="5">
        <v>5310</v>
      </c>
      <c r="I165" s="5">
        <v>0</v>
      </c>
      <c r="J165" s="5" t="s">
        <v>133</v>
      </c>
      <c r="K165" s="6">
        <v>22137.21</v>
      </c>
      <c r="L165" s="83">
        <f>VLOOKUP(F165, [4]Export1!$B$9:$H$237,7,FALSE)</f>
        <v>7517.1</v>
      </c>
      <c r="M165" s="103">
        <f t="shared" si="2"/>
        <v>14620.109999999999</v>
      </c>
    </row>
    <row r="166" spans="1:13" ht="13.5" customHeight="1" x14ac:dyDescent="0.2">
      <c r="A166" s="1">
        <v>221</v>
      </c>
      <c r="B166" s="1">
        <v>5</v>
      </c>
      <c r="C166" s="1">
        <v>0</v>
      </c>
      <c r="D166" s="1">
        <v>62</v>
      </c>
      <c r="E166" s="1" t="s">
        <v>548</v>
      </c>
      <c r="F166" s="5" t="s">
        <v>420</v>
      </c>
      <c r="G166" s="5">
        <v>36</v>
      </c>
      <c r="H166" s="5">
        <v>5310</v>
      </c>
      <c r="I166" s="5">
        <v>0</v>
      </c>
      <c r="J166" s="5" t="s">
        <v>133</v>
      </c>
      <c r="K166" s="6"/>
      <c r="L166" s="83">
        <f>VLOOKUP(F166, [4]Export1!$B$9:$H$237,7,FALSE)</f>
        <v>609</v>
      </c>
      <c r="M166" s="103">
        <f t="shared" si="2"/>
        <v>-609</v>
      </c>
    </row>
    <row r="167" spans="1:13" ht="13.5" customHeight="1" x14ac:dyDescent="0.2">
      <c r="A167" s="1">
        <v>86</v>
      </c>
      <c r="B167" s="1">
        <v>5</v>
      </c>
      <c r="C167" s="1">
        <v>10</v>
      </c>
      <c r="D167" s="1">
        <v>62</v>
      </c>
      <c r="E167" s="1" t="s">
        <v>548</v>
      </c>
      <c r="F167" s="5" t="s">
        <v>159</v>
      </c>
      <c r="G167" s="5">
        <v>10</v>
      </c>
      <c r="H167" s="5">
        <v>5320</v>
      </c>
      <c r="I167" s="5">
        <v>0</v>
      </c>
      <c r="J167" s="5" t="s">
        <v>157</v>
      </c>
      <c r="K167" s="6">
        <v>31.9</v>
      </c>
      <c r="L167" s="83">
        <f>VLOOKUP(F167, [4]Export1!$B$9:$H$237,7,FALSE)</f>
        <v>687</v>
      </c>
      <c r="M167" s="103">
        <f t="shared" si="2"/>
        <v>-655.1</v>
      </c>
    </row>
    <row r="168" spans="1:13" ht="13.5" customHeight="1" x14ac:dyDescent="0.2">
      <c r="A168" s="1">
        <v>143</v>
      </c>
      <c r="B168" s="1">
        <v>5</v>
      </c>
      <c r="C168" s="1">
        <v>20</v>
      </c>
      <c r="D168" s="1">
        <v>62</v>
      </c>
      <c r="E168" s="1" t="s">
        <v>548</v>
      </c>
      <c r="F168" s="5" t="s">
        <v>156</v>
      </c>
      <c r="G168" s="5">
        <v>20</v>
      </c>
      <c r="H168" s="5">
        <v>5320</v>
      </c>
      <c r="I168" s="5">
        <v>0</v>
      </c>
      <c r="J168" s="5" t="s">
        <v>157</v>
      </c>
      <c r="K168" s="6">
        <v>99</v>
      </c>
      <c r="L168" s="83">
        <v>0</v>
      </c>
      <c r="M168" s="103">
        <f t="shared" si="2"/>
        <v>99</v>
      </c>
    </row>
    <row r="169" spans="1:13" ht="13.5" customHeight="1" x14ac:dyDescent="0.2">
      <c r="A169" s="1">
        <v>165</v>
      </c>
      <c r="B169" s="1">
        <v>1</v>
      </c>
      <c r="C169" s="1">
        <v>25</v>
      </c>
      <c r="D169" s="1">
        <v>15</v>
      </c>
      <c r="E169" s="1" t="s">
        <v>559</v>
      </c>
      <c r="F169" s="88" t="s">
        <v>572</v>
      </c>
      <c r="G169" s="88">
        <v>25</v>
      </c>
      <c r="H169" s="88">
        <v>5320</v>
      </c>
      <c r="I169" s="5">
        <v>0</v>
      </c>
      <c r="J169" s="5" t="s">
        <v>157</v>
      </c>
      <c r="K169" s="6"/>
      <c r="L169" s="83">
        <f>VLOOKUP(F169, [4]Export1!$B$9:$H$237,7,FALSE)</f>
        <v>1438.4</v>
      </c>
      <c r="M169" s="103">
        <f t="shared" si="2"/>
        <v>-1438.4</v>
      </c>
    </row>
    <row r="170" spans="1:13" ht="13.5" customHeight="1" x14ac:dyDescent="0.2">
      <c r="A170" s="1">
        <v>166</v>
      </c>
      <c r="B170" s="1">
        <v>1</v>
      </c>
      <c r="C170" s="1">
        <v>25</v>
      </c>
      <c r="D170" s="1">
        <v>15</v>
      </c>
      <c r="E170" s="1" t="s">
        <v>559</v>
      </c>
      <c r="F170" s="5" t="s">
        <v>586</v>
      </c>
      <c r="G170" s="5">
        <v>25</v>
      </c>
      <c r="H170" s="5">
        <v>5320</v>
      </c>
      <c r="I170" s="5">
        <v>28</v>
      </c>
      <c r="J170" t="s">
        <v>576</v>
      </c>
      <c r="K170" s="6"/>
      <c r="L170" s="83">
        <f>VLOOKUP(F170, [4]Export1!$B$9:$H$237,7,FALSE)</f>
        <v>-1438.4</v>
      </c>
      <c r="M170" s="103">
        <f t="shared" si="2"/>
        <v>1438.4</v>
      </c>
    </row>
    <row r="171" spans="1:13" ht="13.5" customHeight="1" x14ac:dyDescent="0.2">
      <c r="A171" s="1">
        <v>195</v>
      </c>
      <c r="B171" s="1">
        <v>5</v>
      </c>
      <c r="C171" s="1">
        <v>35</v>
      </c>
      <c r="D171" s="1">
        <v>62</v>
      </c>
      <c r="E171" s="1" t="s">
        <v>548</v>
      </c>
      <c r="F171" s="5" t="s">
        <v>158</v>
      </c>
      <c r="G171" s="5">
        <v>35</v>
      </c>
      <c r="H171" s="5">
        <v>5320</v>
      </c>
      <c r="I171" s="5">
        <v>0</v>
      </c>
      <c r="J171" s="5" t="s">
        <v>157</v>
      </c>
      <c r="K171" s="6">
        <v>10820.38</v>
      </c>
      <c r="L171" s="83">
        <f>VLOOKUP(F171, [4]Export1!$B$9:$H$237,7,FALSE)</f>
        <v>7631</v>
      </c>
      <c r="M171" s="103">
        <f t="shared" si="2"/>
        <v>3189.3799999999992</v>
      </c>
    </row>
    <row r="172" spans="1:13" ht="13.5" customHeight="1" x14ac:dyDescent="0.2">
      <c r="A172" s="1">
        <v>222</v>
      </c>
      <c r="B172" s="1">
        <v>5</v>
      </c>
      <c r="C172" s="1">
        <v>0</v>
      </c>
      <c r="D172" s="1">
        <v>62</v>
      </c>
      <c r="E172" s="1" t="s">
        <v>548</v>
      </c>
      <c r="F172" s="5" t="s">
        <v>534</v>
      </c>
      <c r="G172" s="5">
        <v>36</v>
      </c>
      <c r="H172" s="5">
        <v>5320</v>
      </c>
      <c r="I172" s="5">
        <v>0</v>
      </c>
      <c r="J172" t="s">
        <v>157</v>
      </c>
      <c r="K172" s="6"/>
      <c r="L172" s="83">
        <f>VLOOKUP(F172, [4]Export1!$B$9:$H$237,7,FALSE)</f>
        <v>699</v>
      </c>
      <c r="M172" s="103">
        <f t="shared" si="2"/>
        <v>-699</v>
      </c>
    </row>
    <row r="173" spans="1:13" ht="13.5" customHeight="1" x14ac:dyDescent="0.2">
      <c r="A173" s="1">
        <v>87</v>
      </c>
      <c r="B173" s="1">
        <v>5</v>
      </c>
      <c r="C173" s="1">
        <v>10</v>
      </c>
      <c r="D173" s="1">
        <v>71</v>
      </c>
      <c r="E173" s="1" t="s">
        <v>549</v>
      </c>
      <c r="F173" s="5" t="s">
        <v>264</v>
      </c>
      <c r="G173" s="5">
        <v>10</v>
      </c>
      <c r="H173" s="5">
        <v>5330</v>
      </c>
      <c r="I173" s="5">
        <v>0</v>
      </c>
      <c r="J173" s="5" t="s">
        <v>265</v>
      </c>
      <c r="K173" s="6">
        <v>7127.5</v>
      </c>
      <c r="L173" s="83">
        <f>VLOOKUP(F173, [4]Export1!$B$9:$H$237,7,FALSE)</f>
        <v>3406</v>
      </c>
      <c r="M173" s="103">
        <f t="shared" si="2"/>
        <v>3721.5</v>
      </c>
    </row>
    <row r="174" spans="1:13" ht="13.5" customHeight="1" x14ac:dyDescent="0.2">
      <c r="A174" s="1">
        <v>144</v>
      </c>
      <c r="B174" s="1">
        <v>5</v>
      </c>
      <c r="C174" s="1">
        <v>20</v>
      </c>
      <c r="D174" s="1">
        <v>71</v>
      </c>
      <c r="E174" s="1" t="s">
        <v>549</v>
      </c>
      <c r="F174" s="5" t="s">
        <v>266</v>
      </c>
      <c r="G174" s="5">
        <v>20</v>
      </c>
      <c r="H174" s="5">
        <v>5330</v>
      </c>
      <c r="I174" s="5">
        <v>0</v>
      </c>
      <c r="J174" s="5" t="s">
        <v>265</v>
      </c>
      <c r="K174" s="6">
        <v>6072.89</v>
      </c>
      <c r="L174" s="83">
        <f>VLOOKUP(F174, [4]Export1!$B$9:$H$237,7,FALSE)</f>
        <v>150</v>
      </c>
      <c r="M174" s="103">
        <f t="shared" si="2"/>
        <v>5922.89</v>
      </c>
    </row>
    <row r="175" spans="1:13" ht="13.5" customHeight="1" x14ac:dyDescent="0.2">
      <c r="A175" s="1">
        <v>196</v>
      </c>
      <c r="B175" s="1">
        <v>5</v>
      </c>
      <c r="C175" s="1">
        <v>35</v>
      </c>
      <c r="D175" s="1">
        <v>71</v>
      </c>
      <c r="E175" s="1" t="s">
        <v>549</v>
      </c>
      <c r="F175" s="5" t="s">
        <v>267</v>
      </c>
      <c r="G175" s="5">
        <v>35</v>
      </c>
      <c r="H175" s="5">
        <v>5330</v>
      </c>
      <c r="I175" s="5">
        <v>0</v>
      </c>
      <c r="J175" s="5" t="s">
        <v>265</v>
      </c>
      <c r="K175" s="6">
        <v>2946.34</v>
      </c>
      <c r="L175" s="83">
        <f>VLOOKUP(F175, [4]Export1!$B$9:$H$237,7,FALSE)</f>
        <v>12456.67</v>
      </c>
      <c r="M175" s="103">
        <f t="shared" si="2"/>
        <v>-9510.33</v>
      </c>
    </row>
    <row r="176" spans="1:13" ht="13.5" customHeight="1" x14ac:dyDescent="0.2">
      <c r="A176" s="1">
        <v>223</v>
      </c>
      <c r="B176" s="1">
        <v>5</v>
      </c>
      <c r="C176" s="1">
        <v>0</v>
      </c>
      <c r="D176" s="1">
        <v>71</v>
      </c>
      <c r="E176" s="1" t="s">
        <v>549</v>
      </c>
      <c r="F176" s="5" t="s">
        <v>533</v>
      </c>
      <c r="G176" s="5">
        <v>36</v>
      </c>
      <c r="H176" s="5">
        <v>5330</v>
      </c>
      <c r="I176" s="5">
        <v>0</v>
      </c>
      <c r="J176" t="s">
        <v>265</v>
      </c>
      <c r="K176" s="6"/>
      <c r="L176" s="83">
        <f>VLOOKUP(F176, [4]Export1!$B$9:$H$237,7,FALSE)</f>
        <v>210</v>
      </c>
      <c r="M176" s="103">
        <f t="shared" si="2"/>
        <v>-210</v>
      </c>
    </row>
    <row r="177" spans="1:13" ht="13.5" customHeight="1" x14ac:dyDescent="0.2">
      <c r="A177" s="1">
        <v>145</v>
      </c>
      <c r="B177" s="1">
        <v>5</v>
      </c>
      <c r="C177" s="1">
        <v>0</v>
      </c>
      <c r="D177" s="1">
        <v>51</v>
      </c>
      <c r="E177" s="1" t="s">
        <v>374</v>
      </c>
      <c r="F177" s="5" t="s">
        <v>373</v>
      </c>
      <c r="G177" s="5">
        <v>20</v>
      </c>
      <c r="H177" s="5">
        <v>5331</v>
      </c>
      <c r="I177" s="5">
        <v>0</v>
      </c>
      <c r="J177" s="5" t="s">
        <v>374</v>
      </c>
      <c r="K177" s="6"/>
      <c r="L177" s="83">
        <f>VLOOKUP(F177, [4]Export1!$B$9:$H$237,7,FALSE)</f>
        <v>200000</v>
      </c>
      <c r="M177" s="103">
        <f t="shared" si="2"/>
        <v>-200000</v>
      </c>
    </row>
    <row r="178" spans="1:13" ht="13.5" customHeight="1" x14ac:dyDescent="0.2">
      <c r="A178" s="1">
        <v>88</v>
      </c>
      <c r="B178" s="1">
        <v>5</v>
      </c>
      <c r="C178" s="1">
        <v>10</v>
      </c>
      <c r="D178" s="1">
        <v>71</v>
      </c>
      <c r="E178" s="1" t="s">
        <v>549</v>
      </c>
      <c r="F178" s="5" t="s">
        <v>323</v>
      </c>
      <c r="G178" s="5">
        <v>10</v>
      </c>
      <c r="H178" s="5">
        <v>5340</v>
      </c>
      <c r="I178" s="5">
        <v>0</v>
      </c>
      <c r="J178" s="5" t="s">
        <v>324</v>
      </c>
      <c r="K178" s="6">
        <v>3989.22</v>
      </c>
      <c r="L178" s="83">
        <f>VLOOKUP(F178, [4]Export1!$B$9:$H$237,7,FALSE)</f>
        <v>1968.72</v>
      </c>
      <c r="M178" s="103">
        <f t="shared" si="2"/>
        <v>2020.4999999999998</v>
      </c>
    </row>
    <row r="179" spans="1:13" ht="13.5" customHeight="1" x14ac:dyDescent="0.2">
      <c r="A179" s="1">
        <v>146</v>
      </c>
      <c r="B179" s="1">
        <v>5</v>
      </c>
      <c r="C179" s="1">
        <v>20</v>
      </c>
      <c r="D179" s="1">
        <v>71</v>
      </c>
      <c r="E179" s="1" t="s">
        <v>549</v>
      </c>
      <c r="F179" s="5" t="s">
        <v>325</v>
      </c>
      <c r="G179" s="5">
        <v>20</v>
      </c>
      <c r="H179" s="5">
        <v>5340</v>
      </c>
      <c r="I179" s="5">
        <v>0</v>
      </c>
      <c r="J179" s="5" t="s">
        <v>324</v>
      </c>
      <c r="K179" s="6">
        <v>65.959999999999994</v>
      </c>
      <c r="L179" s="83">
        <v>0</v>
      </c>
      <c r="M179" s="103">
        <f t="shared" si="2"/>
        <v>65.959999999999994</v>
      </c>
    </row>
    <row r="180" spans="1:13" ht="13.5" customHeight="1" x14ac:dyDescent="0.2">
      <c r="A180" s="1">
        <v>197</v>
      </c>
      <c r="B180" s="1">
        <v>5</v>
      </c>
      <c r="C180" s="1">
        <v>35</v>
      </c>
      <c r="D180" s="1">
        <v>71</v>
      </c>
      <c r="E180" s="1" t="s">
        <v>549</v>
      </c>
      <c r="F180" s="5" t="s">
        <v>326</v>
      </c>
      <c r="G180" s="5">
        <v>35</v>
      </c>
      <c r="H180" s="5">
        <v>5340</v>
      </c>
      <c r="I180" s="5">
        <v>0</v>
      </c>
      <c r="J180" s="5" t="s">
        <v>324</v>
      </c>
      <c r="K180" s="6">
        <v>2389.96</v>
      </c>
      <c r="L180" s="83">
        <f>VLOOKUP(F180, [4]Export1!$B$9:$H$237,7,FALSE)</f>
        <v>4064</v>
      </c>
      <c r="M180" s="103">
        <f t="shared" si="2"/>
        <v>-1674.04</v>
      </c>
    </row>
    <row r="181" spans="1:13" ht="13.5" customHeight="1" x14ac:dyDescent="0.2">
      <c r="A181" s="1">
        <v>198</v>
      </c>
      <c r="B181" s="1">
        <v>5</v>
      </c>
      <c r="C181" s="1">
        <v>35</v>
      </c>
      <c r="D181" s="1">
        <v>67</v>
      </c>
      <c r="E181" s="1" t="s">
        <v>314</v>
      </c>
      <c r="F181" s="5" t="s">
        <v>139</v>
      </c>
      <c r="G181" s="5">
        <v>35</v>
      </c>
      <c r="H181" s="5">
        <v>5345</v>
      </c>
      <c r="I181" s="5">
        <v>0</v>
      </c>
      <c r="J181" s="5" t="s">
        <v>140</v>
      </c>
      <c r="K181" s="6">
        <v>8100</v>
      </c>
      <c r="L181" s="83">
        <f>VLOOKUP(F181, [4]Export1!$B$9:$H$237,7,FALSE)</f>
        <v>138.75</v>
      </c>
      <c r="M181" s="103">
        <f t="shared" si="2"/>
        <v>7961.25</v>
      </c>
    </row>
    <row r="182" spans="1:13" ht="13.5" customHeight="1" x14ac:dyDescent="0.2">
      <c r="A182" s="1">
        <v>52</v>
      </c>
      <c r="B182" s="1">
        <v>5</v>
      </c>
      <c r="C182" s="1">
        <v>20</v>
      </c>
      <c r="D182" s="1">
        <v>52</v>
      </c>
      <c r="E182" s="1" t="s">
        <v>543</v>
      </c>
      <c r="F182" s="5" t="s">
        <v>352</v>
      </c>
      <c r="G182" s="5">
        <v>0</v>
      </c>
      <c r="H182" s="5">
        <v>5350</v>
      </c>
      <c r="I182" s="5">
        <v>0</v>
      </c>
      <c r="J182" s="5" t="s">
        <v>135</v>
      </c>
      <c r="K182" s="6">
        <v>802.02</v>
      </c>
      <c r="L182" s="83">
        <v>0</v>
      </c>
      <c r="M182" s="103">
        <f t="shared" si="2"/>
        <v>802.02</v>
      </c>
    </row>
    <row r="183" spans="1:13" ht="13.5" customHeight="1" x14ac:dyDescent="0.2">
      <c r="A183" s="1">
        <v>89</v>
      </c>
      <c r="B183" s="1">
        <v>5</v>
      </c>
      <c r="C183" s="1">
        <v>10</v>
      </c>
      <c r="D183" s="1">
        <v>52</v>
      </c>
      <c r="E183" s="1" t="s">
        <v>543</v>
      </c>
      <c r="F183" s="5" t="s">
        <v>134</v>
      </c>
      <c r="G183" s="5">
        <v>10</v>
      </c>
      <c r="H183" s="5">
        <v>5350</v>
      </c>
      <c r="I183" s="5">
        <v>0</v>
      </c>
      <c r="J183" s="5" t="s">
        <v>135</v>
      </c>
      <c r="K183" s="6">
        <v>131356.5</v>
      </c>
      <c r="L183" s="83">
        <f>VLOOKUP(F183, [4]Export1!$B$9:$H$237,7,FALSE)</f>
        <v>70110</v>
      </c>
      <c r="M183" s="103">
        <f t="shared" si="2"/>
        <v>61246.5</v>
      </c>
    </row>
    <row r="184" spans="1:13" ht="13.5" customHeight="1" x14ac:dyDescent="0.2">
      <c r="A184" s="1">
        <v>128</v>
      </c>
      <c r="B184" s="1">
        <v>5</v>
      </c>
      <c r="C184" s="1">
        <v>11</v>
      </c>
      <c r="D184" s="1">
        <v>52</v>
      </c>
      <c r="E184" s="1" t="s">
        <v>543</v>
      </c>
      <c r="F184" s="5" t="s">
        <v>592</v>
      </c>
      <c r="G184" s="5">
        <v>11</v>
      </c>
      <c r="H184" s="5">
        <v>5350</v>
      </c>
      <c r="I184" s="5">
        <v>0</v>
      </c>
      <c r="J184" t="s">
        <v>601</v>
      </c>
      <c r="K184" s="6"/>
      <c r="L184" s="83">
        <f>VLOOKUP(F184, [4]Export1!$B$9:$H$237,7,FALSE)</f>
        <v>1000</v>
      </c>
      <c r="M184" s="103">
        <f t="shared" si="2"/>
        <v>-1000</v>
      </c>
    </row>
    <row r="185" spans="1:13" ht="13.5" customHeight="1" x14ac:dyDescent="0.2">
      <c r="A185" s="1">
        <v>199</v>
      </c>
      <c r="B185" s="1">
        <v>5</v>
      </c>
      <c r="C185" s="1">
        <v>35</v>
      </c>
      <c r="D185" s="1">
        <v>52</v>
      </c>
      <c r="E185" s="1" t="s">
        <v>543</v>
      </c>
      <c r="F185" s="5" t="s">
        <v>136</v>
      </c>
      <c r="G185" s="5">
        <v>35</v>
      </c>
      <c r="H185" s="5">
        <v>5350</v>
      </c>
      <c r="I185" s="5">
        <v>0</v>
      </c>
      <c r="J185" s="5" t="s">
        <v>135</v>
      </c>
      <c r="K185" s="6">
        <v>34607.78</v>
      </c>
      <c r="L185" s="83">
        <f>VLOOKUP(F185, [4]Export1!$B$9:$H$237,7,FALSE)</f>
        <v>2197</v>
      </c>
      <c r="M185" s="103">
        <f t="shared" si="2"/>
        <v>32410.78</v>
      </c>
    </row>
    <row r="186" spans="1:13" ht="13.5" customHeight="1" x14ac:dyDescent="0.2">
      <c r="A186" s="1">
        <v>224</v>
      </c>
      <c r="B186" s="1">
        <v>5</v>
      </c>
      <c r="C186" s="1">
        <v>0</v>
      </c>
      <c r="D186" s="1">
        <v>52</v>
      </c>
      <c r="E186" s="1" t="s">
        <v>543</v>
      </c>
      <c r="F186" s="5" t="s">
        <v>421</v>
      </c>
      <c r="G186" s="5">
        <v>36</v>
      </c>
      <c r="H186" s="5">
        <v>5350</v>
      </c>
      <c r="I186" s="5">
        <v>0</v>
      </c>
      <c r="J186" s="5" t="s">
        <v>135</v>
      </c>
      <c r="K186" s="6"/>
      <c r="L186" s="83">
        <f>VLOOKUP(F186, [4]Export1!$B$9:$H$237,7,FALSE)</f>
        <v>1971</v>
      </c>
      <c r="M186" s="103">
        <f t="shared" si="2"/>
        <v>-1971</v>
      </c>
    </row>
    <row r="187" spans="1:13" ht="13.5" customHeight="1" x14ac:dyDescent="0.2">
      <c r="A187" s="1">
        <v>90</v>
      </c>
      <c r="B187" s="1">
        <v>5</v>
      </c>
      <c r="C187" s="1">
        <v>10</v>
      </c>
      <c r="D187" s="1">
        <v>52</v>
      </c>
      <c r="E187" s="1" t="s">
        <v>543</v>
      </c>
      <c r="F187" s="5" t="s">
        <v>244</v>
      </c>
      <c r="G187" s="5">
        <v>10</v>
      </c>
      <c r="H187" s="5">
        <v>5351</v>
      </c>
      <c r="I187" s="5">
        <v>0</v>
      </c>
      <c r="J187" s="5" t="s">
        <v>245</v>
      </c>
      <c r="K187" s="6">
        <v>20333.37</v>
      </c>
      <c r="L187" s="83">
        <v>0</v>
      </c>
      <c r="M187" s="103">
        <f t="shared" si="2"/>
        <v>20333.37</v>
      </c>
    </row>
    <row r="188" spans="1:13" ht="13.5" customHeight="1" x14ac:dyDescent="0.2">
      <c r="A188" s="1">
        <v>200</v>
      </c>
      <c r="B188" s="1">
        <v>5</v>
      </c>
      <c r="C188" s="1">
        <v>0</v>
      </c>
      <c r="D188" s="1">
        <v>52</v>
      </c>
      <c r="E188" s="1" t="s">
        <v>543</v>
      </c>
      <c r="F188" s="5" t="s">
        <v>417</v>
      </c>
      <c r="G188" s="5">
        <v>35</v>
      </c>
      <c r="H188" s="5">
        <v>5351</v>
      </c>
      <c r="I188" s="5">
        <v>0</v>
      </c>
      <c r="J188" s="5" t="s">
        <v>418</v>
      </c>
      <c r="K188" s="6"/>
      <c r="L188" s="83">
        <f>VLOOKUP(F188, [4]Export1!$B$9:$H$237,7,FALSE)</f>
        <v>0</v>
      </c>
      <c r="M188" s="103">
        <f t="shared" si="2"/>
        <v>0</v>
      </c>
    </row>
    <row r="189" spans="1:13" ht="13.5" customHeight="1" x14ac:dyDescent="0.2">
      <c r="A189" s="1">
        <v>234</v>
      </c>
      <c r="B189" s="1">
        <v>5</v>
      </c>
      <c r="C189" s="1">
        <v>0</v>
      </c>
      <c r="D189" s="1">
        <v>52</v>
      </c>
      <c r="E189" s="1" t="s">
        <v>543</v>
      </c>
      <c r="F189" s="5" t="s">
        <v>535</v>
      </c>
      <c r="G189" s="5">
        <v>37</v>
      </c>
      <c r="H189" s="5">
        <v>5351</v>
      </c>
      <c r="I189" s="5">
        <v>0</v>
      </c>
      <c r="J189" t="s">
        <v>539</v>
      </c>
      <c r="K189" s="6"/>
      <c r="L189" s="83">
        <f>VLOOKUP(F189, [4]Export1!$B$9:$H$237,7,FALSE)</f>
        <v>49834.720000000001</v>
      </c>
      <c r="M189" s="103">
        <f t="shared" si="2"/>
        <v>-49834.720000000001</v>
      </c>
    </row>
    <row r="190" spans="1:13" ht="13.5" customHeight="1" x14ac:dyDescent="0.2">
      <c r="A190" s="1">
        <v>167</v>
      </c>
      <c r="B190" s="1">
        <v>5</v>
      </c>
      <c r="C190" s="1">
        <v>25</v>
      </c>
      <c r="D190" s="1">
        <v>77</v>
      </c>
      <c r="E190" s="1" t="s">
        <v>378</v>
      </c>
      <c r="F190" s="5" t="s">
        <v>377</v>
      </c>
      <c r="G190" s="5">
        <v>25</v>
      </c>
      <c r="H190" s="5">
        <v>5352</v>
      </c>
      <c r="I190" s="5">
        <v>0</v>
      </c>
      <c r="J190" s="5" t="s">
        <v>378</v>
      </c>
      <c r="K190" s="6"/>
      <c r="L190" s="83">
        <f>VLOOKUP(F190, [4]Export1!$B$9:$H$237,7,FALSE)</f>
        <v>67500</v>
      </c>
      <c r="M190" s="103">
        <f t="shared" si="2"/>
        <v>-67500</v>
      </c>
    </row>
    <row r="191" spans="1:13" ht="13.5" customHeight="1" x14ac:dyDescent="0.2">
      <c r="A191" s="1">
        <v>53</v>
      </c>
      <c r="B191" s="1">
        <v>5</v>
      </c>
      <c r="C191" s="1">
        <v>20</v>
      </c>
      <c r="D191" s="1">
        <v>69</v>
      </c>
      <c r="E191" s="1" t="s">
        <v>544</v>
      </c>
      <c r="F191" s="5" t="s">
        <v>272</v>
      </c>
      <c r="G191" s="5">
        <v>0</v>
      </c>
      <c r="H191" s="5">
        <v>5399</v>
      </c>
      <c r="I191" s="5">
        <v>0</v>
      </c>
      <c r="J191" s="5" t="s">
        <v>273</v>
      </c>
      <c r="K191" s="6">
        <v>-100.6</v>
      </c>
      <c r="L191" s="83">
        <f>VLOOKUP(F191, [4]Export1!$B$9:$H$237,7,FALSE)</f>
        <v>109.44</v>
      </c>
      <c r="M191" s="103">
        <f t="shared" si="2"/>
        <v>-210.04</v>
      </c>
    </row>
    <row r="192" spans="1:13" ht="13.5" customHeight="1" x14ac:dyDescent="0.2">
      <c r="A192" s="1">
        <v>70</v>
      </c>
      <c r="B192" s="1">
        <v>5</v>
      </c>
      <c r="C192" s="1">
        <v>80</v>
      </c>
      <c r="D192" s="1">
        <v>73</v>
      </c>
      <c r="E192" s="1" t="s">
        <v>547</v>
      </c>
      <c r="F192" s="5" t="s">
        <v>236</v>
      </c>
      <c r="G192" s="5">
        <v>5</v>
      </c>
      <c r="H192" s="5">
        <v>5399</v>
      </c>
      <c r="I192" s="5">
        <v>0</v>
      </c>
      <c r="J192" s="5" t="s">
        <v>237</v>
      </c>
      <c r="K192" s="6">
        <v>42</v>
      </c>
      <c r="L192" s="83">
        <v>0</v>
      </c>
      <c r="M192" s="103">
        <f t="shared" si="2"/>
        <v>42</v>
      </c>
    </row>
    <row r="193" spans="1:13" ht="13.5" customHeight="1" x14ac:dyDescent="0.2">
      <c r="A193" s="1">
        <v>91</v>
      </c>
      <c r="B193" s="1">
        <v>5</v>
      </c>
      <c r="C193" s="1">
        <v>10</v>
      </c>
      <c r="D193" s="1">
        <v>69</v>
      </c>
      <c r="E193" s="1" t="s">
        <v>544</v>
      </c>
      <c r="F193" s="5" t="s">
        <v>274</v>
      </c>
      <c r="G193" s="5">
        <v>10</v>
      </c>
      <c r="H193" s="5">
        <v>5399</v>
      </c>
      <c r="I193" s="5">
        <v>0</v>
      </c>
      <c r="J193" s="5" t="s">
        <v>273</v>
      </c>
      <c r="K193" s="6">
        <v>1575.52</v>
      </c>
      <c r="L193" s="83">
        <f>VLOOKUP(F193, [4]Export1!$B$9:$H$237,7,FALSE)</f>
        <v>4712.4399999999996</v>
      </c>
      <c r="M193" s="103">
        <f t="shared" si="2"/>
        <v>-3136.9199999999996</v>
      </c>
    </row>
    <row r="194" spans="1:13" ht="13.5" customHeight="1" x14ac:dyDescent="0.2">
      <c r="A194" s="1">
        <v>282</v>
      </c>
      <c r="B194" s="1">
        <v>5</v>
      </c>
      <c r="C194" s="1">
        <v>0</v>
      </c>
      <c r="D194" s="1">
        <v>76</v>
      </c>
      <c r="E194" s="1" t="s">
        <v>547</v>
      </c>
      <c r="F194" s="5" t="s">
        <v>270</v>
      </c>
      <c r="G194" s="5">
        <v>80</v>
      </c>
      <c r="H194" s="5">
        <v>5405</v>
      </c>
      <c r="I194" s="5">
        <v>0</v>
      </c>
      <c r="J194" s="5" t="s">
        <v>271</v>
      </c>
      <c r="K194" s="6"/>
      <c r="L194" s="83">
        <f>VLOOKUP(F194, [4]Export1!$B$9:$H$237,7,FALSE)</f>
        <v>1273.9100000000001</v>
      </c>
      <c r="M194" s="103">
        <f t="shared" si="2"/>
        <v>-1273.9100000000001</v>
      </c>
    </row>
    <row r="195" spans="1:13" ht="13.5" customHeight="1" x14ac:dyDescent="0.2">
      <c r="A195" s="1">
        <v>92</v>
      </c>
      <c r="B195" s="1">
        <v>5</v>
      </c>
      <c r="C195" s="1">
        <v>10</v>
      </c>
      <c r="D195" s="1">
        <v>70</v>
      </c>
      <c r="E195" s="1" t="s">
        <v>550</v>
      </c>
      <c r="F195" s="5" t="s">
        <v>282</v>
      </c>
      <c r="G195" s="5">
        <v>10</v>
      </c>
      <c r="H195" s="5">
        <v>6010</v>
      </c>
      <c r="I195" s="5">
        <v>0</v>
      </c>
      <c r="J195" s="5" t="s">
        <v>283</v>
      </c>
      <c r="K195" s="6">
        <v>47039.34</v>
      </c>
      <c r="L195" s="83">
        <f>VLOOKUP(F195, [4]Export1!$B$9:$H$237,7,FALSE)</f>
        <v>34051.129999999997</v>
      </c>
      <c r="M195" s="103">
        <f t="shared" ref="M195:M258" si="3">K195-L195</f>
        <v>12988.21</v>
      </c>
    </row>
    <row r="196" spans="1:13" ht="13.5" customHeight="1" x14ac:dyDescent="0.2">
      <c r="A196" s="1">
        <v>147</v>
      </c>
      <c r="B196" s="1">
        <v>5</v>
      </c>
      <c r="C196" s="1">
        <v>20</v>
      </c>
      <c r="D196" s="1">
        <v>70</v>
      </c>
      <c r="E196" s="1" t="s">
        <v>550</v>
      </c>
      <c r="F196" s="5" t="s">
        <v>213</v>
      </c>
      <c r="G196" s="5">
        <v>20</v>
      </c>
      <c r="H196" s="5">
        <v>6010</v>
      </c>
      <c r="I196" s="5">
        <v>0</v>
      </c>
      <c r="J196" s="5" t="s">
        <v>214</v>
      </c>
      <c r="K196" s="6">
        <v>130</v>
      </c>
      <c r="L196" s="83">
        <v>0</v>
      </c>
      <c r="M196" s="103">
        <f t="shared" si="3"/>
        <v>130</v>
      </c>
    </row>
    <row r="197" spans="1:13" ht="13.5" customHeight="1" x14ac:dyDescent="0.2">
      <c r="A197" s="1">
        <v>168</v>
      </c>
      <c r="B197" s="1">
        <v>1</v>
      </c>
      <c r="C197" s="1">
        <v>25</v>
      </c>
      <c r="D197" s="1">
        <v>15</v>
      </c>
      <c r="E197" s="1" t="s">
        <v>559</v>
      </c>
      <c r="F197" s="5" t="s">
        <v>379</v>
      </c>
      <c r="G197" s="5">
        <v>25</v>
      </c>
      <c r="H197" s="5">
        <v>6010</v>
      </c>
      <c r="I197" s="5">
        <v>0</v>
      </c>
      <c r="J197" s="5" t="s">
        <v>380</v>
      </c>
      <c r="K197" s="6"/>
      <c r="L197" s="83">
        <f>VLOOKUP(F197, [4]Export1!$B$9:$H$237,7,FALSE)</f>
        <v>118.82</v>
      </c>
      <c r="M197" s="103">
        <f t="shared" si="3"/>
        <v>-118.82</v>
      </c>
    </row>
    <row r="198" spans="1:13" ht="13.5" customHeight="1" x14ac:dyDescent="0.2">
      <c r="A198" s="1">
        <v>169</v>
      </c>
      <c r="B198" s="1">
        <v>1</v>
      </c>
      <c r="C198" s="1">
        <v>25</v>
      </c>
      <c r="D198" s="1">
        <v>15</v>
      </c>
      <c r="E198" s="1" t="s">
        <v>559</v>
      </c>
      <c r="F198" s="5" t="s">
        <v>410</v>
      </c>
      <c r="G198" s="5">
        <v>25</v>
      </c>
      <c r="H198" s="5">
        <v>6010</v>
      </c>
      <c r="I198" s="5">
        <v>28</v>
      </c>
      <c r="J198" s="5" t="s">
        <v>411</v>
      </c>
      <c r="K198" s="6"/>
      <c r="L198" s="83">
        <f>VLOOKUP(F198, [4]Export1!$B$9:$H$237,7,FALSE)</f>
        <v>-118.82</v>
      </c>
      <c r="M198" s="103">
        <f t="shared" si="3"/>
        <v>118.82</v>
      </c>
    </row>
    <row r="199" spans="1:13" ht="13.5" customHeight="1" x14ac:dyDescent="0.2">
      <c r="A199" s="1">
        <v>201</v>
      </c>
      <c r="B199" s="1">
        <v>5</v>
      </c>
      <c r="C199" s="1">
        <v>35</v>
      </c>
      <c r="D199" s="1">
        <v>70</v>
      </c>
      <c r="E199" s="1" t="s">
        <v>550</v>
      </c>
      <c r="F199" s="5" t="s">
        <v>284</v>
      </c>
      <c r="G199" s="5">
        <v>35</v>
      </c>
      <c r="H199" s="5">
        <v>6010</v>
      </c>
      <c r="I199" s="5">
        <v>0</v>
      </c>
      <c r="J199" s="5" t="s">
        <v>283</v>
      </c>
      <c r="K199" s="6">
        <v>529.08000000000004</v>
      </c>
      <c r="L199" s="83">
        <f>VLOOKUP(F199, [4]Export1!$B$9:$H$237,7,FALSE)</f>
        <v>1600.71</v>
      </c>
      <c r="M199" s="103">
        <f t="shared" si="3"/>
        <v>-1071.6300000000001</v>
      </c>
    </row>
    <row r="200" spans="1:13" ht="13.5" customHeight="1" x14ac:dyDescent="0.2">
      <c r="A200" s="1">
        <v>225</v>
      </c>
      <c r="B200" s="1">
        <v>5</v>
      </c>
      <c r="C200" s="1">
        <v>0</v>
      </c>
      <c r="D200" s="1">
        <v>70</v>
      </c>
      <c r="E200" s="1" t="s">
        <v>550</v>
      </c>
      <c r="F200" s="5" t="s">
        <v>386</v>
      </c>
      <c r="G200" s="5">
        <v>36</v>
      </c>
      <c r="H200" s="5">
        <v>6010</v>
      </c>
      <c r="I200" s="5">
        <v>0</v>
      </c>
      <c r="J200" s="5" t="s">
        <v>283</v>
      </c>
      <c r="K200" s="6"/>
      <c r="L200" s="83">
        <f>VLOOKUP(F200, [4]Export1!$B$9:$H$237,7,FALSE)</f>
        <v>420.29</v>
      </c>
      <c r="M200" s="103">
        <f t="shared" si="3"/>
        <v>-420.29</v>
      </c>
    </row>
    <row r="201" spans="1:13" ht="13.5" customHeight="1" x14ac:dyDescent="0.2">
      <c r="A201" s="1">
        <v>255</v>
      </c>
      <c r="B201" s="1">
        <v>5</v>
      </c>
      <c r="C201" s="1">
        <v>0</v>
      </c>
      <c r="D201" s="1">
        <v>70</v>
      </c>
      <c r="E201" s="1" t="s">
        <v>550</v>
      </c>
      <c r="F201" s="5" t="s">
        <v>391</v>
      </c>
      <c r="G201" s="5">
        <v>45</v>
      </c>
      <c r="H201" s="5">
        <v>6010</v>
      </c>
      <c r="I201" s="5">
        <v>0</v>
      </c>
      <c r="J201" s="5" t="s">
        <v>392</v>
      </c>
      <c r="K201" s="6"/>
      <c r="L201" s="83">
        <f>VLOOKUP(F201, [4]Export1!$B$9:$H$237,7,FALSE)</f>
        <v>27.95</v>
      </c>
      <c r="M201" s="103">
        <f t="shared" si="3"/>
        <v>-27.95</v>
      </c>
    </row>
    <row r="202" spans="1:13" ht="13.5" customHeight="1" x14ac:dyDescent="0.2">
      <c r="A202" s="1">
        <v>273</v>
      </c>
      <c r="B202" s="1">
        <v>5</v>
      </c>
      <c r="C202" s="1">
        <v>60</v>
      </c>
      <c r="D202" s="1">
        <v>70</v>
      </c>
      <c r="E202" s="1" t="s">
        <v>550</v>
      </c>
      <c r="F202" s="5" t="s">
        <v>333</v>
      </c>
      <c r="G202" s="5">
        <v>60</v>
      </c>
      <c r="H202" s="5">
        <v>6010</v>
      </c>
      <c r="I202" s="5">
        <v>0</v>
      </c>
      <c r="J202" s="5" t="s">
        <v>334</v>
      </c>
      <c r="K202" s="6">
        <v>118.2</v>
      </c>
      <c r="L202" s="83">
        <f>VLOOKUP(F202, [4]Export1!$B$9:$H$237,7,FALSE)</f>
        <v>117.14</v>
      </c>
      <c r="M202" s="103">
        <f t="shared" si="3"/>
        <v>1.0600000000000023</v>
      </c>
    </row>
    <row r="203" spans="1:13" ht="13.5" customHeight="1" x14ac:dyDescent="0.2">
      <c r="A203" s="1">
        <v>283</v>
      </c>
      <c r="B203" s="1">
        <v>5</v>
      </c>
      <c r="C203" s="1">
        <v>80</v>
      </c>
      <c r="D203" s="1">
        <v>73</v>
      </c>
      <c r="E203" s="1" t="s">
        <v>547</v>
      </c>
      <c r="F203" s="5" t="s">
        <v>285</v>
      </c>
      <c r="G203" s="5">
        <v>80</v>
      </c>
      <c r="H203" s="5">
        <v>6010</v>
      </c>
      <c r="I203" s="5">
        <v>0</v>
      </c>
      <c r="J203" s="5" t="s">
        <v>283</v>
      </c>
      <c r="K203" s="6">
        <v>183.1</v>
      </c>
      <c r="L203" s="83">
        <v>0</v>
      </c>
      <c r="M203" s="103">
        <f t="shared" si="3"/>
        <v>183.1</v>
      </c>
    </row>
    <row r="204" spans="1:13" ht="13.5" customHeight="1" x14ac:dyDescent="0.2">
      <c r="A204" s="1">
        <v>93</v>
      </c>
      <c r="B204" s="1">
        <v>5</v>
      </c>
      <c r="C204" s="1">
        <v>10</v>
      </c>
      <c r="D204" s="1">
        <v>65</v>
      </c>
      <c r="E204" s="1" t="s">
        <v>332</v>
      </c>
      <c r="F204" s="5" t="s">
        <v>329</v>
      </c>
      <c r="G204" s="5">
        <v>10</v>
      </c>
      <c r="H204" s="5">
        <v>6020</v>
      </c>
      <c r="I204" s="5">
        <v>0</v>
      </c>
      <c r="J204" s="5" t="s">
        <v>330</v>
      </c>
      <c r="K204" s="6">
        <v>100272.86</v>
      </c>
      <c r="L204" s="83">
        <f>VLOOKUP(F204, [4]Export1!$B$9:$H$237,7,FALSE)</f>
        <v>5336.77</v>
      </c>
      <c r="M204" s="103">
        <f t="shared" si="3"/>
        <v>94936.09</v>
      </c>
    </row>
    <row r="205" spans="1:13" ht="13.5" customHeight="1" x14ac:dyDescent="0.2">
      <c r="A205" s="1">
        <v>170</v>
      </c>
      <c r="B205" s="1">
        <v>1</v>
      </c>
      <c r="C205" s="1">
        <v>25</v>
      </c>
      <c r="D205" s="1">
        <v>15</v>
      </c>
      <c r="E205" s="1" t="s">
        <v>559</v>
      </c>
      <c r="F205" s="5" t="s">
        <v>331</v>
      </c>
      <c r="G205" s="5">
        <v>25</v>
      </c>
      <c r="H205" s="5">
        <v>6020</v>
      </c>
      <c r="I205" s="5">
        <v>0</v>
      </c>
      <c r="J205" s="5" t="s">
        <v>332</v>
      </c>
      <c r="K205" s="6">
        <v>43839.77</v>
      </c>
      <c r="L205" s="83">
        <f>VLOOKUP(F205, [4]Export1!$B$9:$H$237,7,FALSE)</f>
        <v>40888.86</v>
      </c>
      <c r="M205" s="103">
        <f t="shared" si="3"/>
        <v>2950.9099999999962</v>
      </c>
    </row>
    <row r="206" spans="1:13" ht="13.5" customHeight="1" x14ac:dyDescent="0.2">
      <c r="A206" s="1">
        <v>171</v>
      </c>
      <c r="B206" s="1">
        <v>1</v>
      </c>
      <c r="C206" s="1">
        <v>25</v>
      </c>
      <c r="D206" s="1">
        <v>15</v>
      </c>
      <c r="E206" s="1" t="s">
        <v>559</v>
      </c>
      <c r="F206" s="5" t="s">
        <v>381</v>
      </c>
      <c r="G206" s="5">
        <v>25</v>
      </c>
      <c r="H206" s="5">
        <v>6020</v>
      </c>
      <c r="I206" s="5">
        <v>28</v>
      </c>
      <c r="J206" s="5" t="s">
        <v>382</v>
      </c>
      <c r="K206" s="6"/>
      <c r="L206" s="83">
        <f>VLOOKUP(F206, [4]Export1!$B$9:$H$237,7,FALSE)</f>
        <v>-40888.86</v>
      </c>
      <c r="M206" s="103">
        <f t="shared" si="3"/>
        <v>40888.86</v>
      </c>
    </row>
    <row r="207" spans="1:13" ht="13.5" customHeight="1" x14ac:dyDescent="0.2">
      <c r="A207" s="1">
        <v>226</v>
      </c>
      <c r="B207" s="1">
        <v>5</v>
      </c>
      <c r="C207" s="1">
        <v>36</v>
      </c>
      <c r="D207" s="1">
        <v>65</v>
      </c>
      <c r="E207" s="1" t="s">
        <v>332</v>
      </c>
      <c r="F207" s="5" t="s">
        <v>387</v>
      </c>
      <c r="G207" s="5">
        <v>36</v>
      </c>
      <c r="H207" s="5">
        <v>6020</v>
      </c>
      <c r="I207" s="5">
        <v>0</v>
      </c>
      <c r="J207" s="5" t="s">
        <v>330</v>
      </c>
      <c r="K207" s="6"/>
      <c r="L207" s="83">
        <f>VLOOKUP(F207, [4]Export1!$B$9:$H$237,7,FALSE)</f>
        <v>19177.5</v>
      </c>
      <c r="M207" s="103">
        <f t="shared" si="3"/>
        <v>-19177.5</v>
      </c>
    </row>
    <row r="208" spans="1:13" ht="13.5" customHeight="1" x14ac:dyDescent="0.2">
      <c r="A208" s="1">
        <v>278</v>
      </c>
      <c r="B208" s="1">
        <v>5</v>
      </c>
      <c r="C208" s="1">
        <v>10</v>
      </c>
      <c r="D208" s="1">
        <v>69</v>
      </c>
      <c r="E208" s="1" t="s">
        <v>544</v>
      </c>
      <c r="F208" s="88" t="s">
        <v>568</v>
      </c>
      <c r="G208" s="88">
        <v>70</v>
      </c>
      <c r="H208" s="88">
        <v>6021</v>
      </c>
      <c r="I208" s="5">
        <v>0</v>
      </c>
      <c r="J208" s="5" t="s">
        <v>578</v>
      </c>
      <c r="K208" s="6"/>
      <c r="L208" s="83">
        <v>0</v>
      </c>
      <c r="M208" s="103">
        <f t="shared" si="3"/>
        <v>0</v>
      </c>
    </row>
    <row r="209" spans="1:13" ht="13.5" customHeight="1" x14ac:dyDescent="0.2">
      <c r="A209" s="1">
        <v>94</v>
      </c>
      <c r="B209" s="1">
        <v>5</v>
      </c>
      <c r="C209" s="1">
        <v>10</v>
      </c>
      <c r="D209" s="1">
        <v>63</v>
      </c>
      <c r="E209" s="1" t="s">
        <v>551</v>
      </c>
      <c r="F209" s="5" t="s">
        <v>154</v>
      </c>
      <c r="G209" s="5">
        <v>10</v>
      </c>
      <c r="H209" s="5">
        <v>6025</v>
      </c>
      <c r="I209" s="5">
        <v>0</v>
      </c>
      <c r="J209" s="5" t="s">
        <v>155</v>
      </c>
      <c r="K209" s="6">
        <v>6243.9</v>
      </c>
      <c r="L209" s="83">
        <f>VLOOKUP(F209, [4]Export1!$B$9:$H$237,7,FALSE)</f>
        <v>2541.21</v>
      </c>
      <c r="M209" s="103">
        <f t="shared" si="3"/>
        <v>3702.6899999999996</v>
      </c>
    </row>
    <row r="210" spans="1:13" ht="13.5" customHeight="1" x14ac:dyDescent="0.2">
      <c r="A210" s="1">
        <v>202</v>
      </c>
      <c r="B210" s="1">
        <v>5</v>
      </c>
      <c r="C210" s="1">
        <v>35</v>
      </c>
      <c r="D210" s="1">
        <v>63</v>
      </c>
      <c r="E210" s="1" t="s">
        <v>551</v>
      </c>
      <c r="F210" s="5" t="s">
        <v>591</v>
      </c>
      <c r="G210" s="5">
        <v>35</v>
      </c>
      <c r="H210" s="5">
        <v>6025</v>
      </c>
      <c r="I210" s="5">
        <v>0</v>
      </c>
      <c r="J210" t="s">
        <v>600</v>
      </c>
      <c r="K210" s="6"/>
      <c r="L210" s="83">
        <f>VLOOKUP(F210, [4]Export1!$B$9:$H$237,7,FALSE)</f>
        <v>395</v>
      </c>
      <c r="M210" s="103">
        <f t="shared" si="3"/>
        <v>-395</v>
      </c>
    </row>
    <row r="211" spans="1:13" ht="13.5" customHeight="1" x14ac:dyDescent="0.2">
      <c r="A211" s="1">
        <v>227</v>
      </c>
      <c r="B211" s="1">
        <v>5</v>
      </c>
      <c r="C211" s="1">
        <v>0</v>
      </c>
      <c r="D211" s="1">
        <v>63</v>
      </c>
      <c r="E211" s="1" t="s">
        <v>551</v>
      </c>
      <c r="F211" s="5" t="s">
        <v>388</v>
      </c>
      <c r="G211" s="5">
        <v>36</v>
      </c>
      <c r="H211" s="5">
        <v>6025</v>
      </c>
      <c r="I211" s="5">
        <v>0</v>
      </c>
      <c r="J211" s="5" t="s">
        <v>389</v>
      </c>
      <c r="K211" s="6"/>
      <c r="L211" s="83">
        <f>VLOOKUP(F211, [4]Export1!$B$9:$H$237,7,FALSE)</f>
        <v>327.55</v>
      </c>
      <c r="M211" s="103">
        <f t="shared" si="3"/>
        <v>-327.55</v>
      </c>
    </row>
    <row r="212" spans="1:13" ht="13.5" customHeight="1" x14ac:dyDescent="0.2">
      <c r="A212" s="1">
        <v>54</v>
      </c>
      <c r="B212" s="1">
        <v>5</v>
      </c>
      <c r="C212" s="1">
        <v>20</v>
      </c>
      <c r="D212" s="1">
        <v>53</v>
      </c>
      <c r="E212" s="1" t="s">
        <v>165</v>
      </c>
      <c r="F212" s="5" t="s">
        <v>160</v>
      </c>
      <c r="G212" s="5">
        <v>0</v>
      </c>
      <c r="H212" s="5">
        <v>6040</v>
      </c>
      <c r="I212" s="5">
        <v>0</v>
      </c>
      <c r="J212" s="5" t="s">
        <v>161</v>
      </c>
      <c r="K212" s="6">
        <v>8100</v>
      </c>
      <c r="L212" s="83">
        <f>VLOOKUP(F212, [4]Export1!$B$9:$H$237,7,FALSE)</f>
        <v>-1800</v>
      </c>
      <c r="M212" s="103">
        <f t="shared" si="3"/>
        <v>9900</v>
      </c>
    </row>
    <row r="213" spans="1:13" ht="13.5" customHeight="1" x14ac:dyDescent="0.2">
      <c r="A213" s="1">
        <v>95</v>
      </c>
      <c r="B213" s="1">
        <v>5</v>
      </c>
      <c r="C213" s="1">
        <v>10</v>
      </c>
      <c r="D213" s="1">
        <v>53</v>
      </c>
      <c r="E213" s="1" t="s">
        <v>165</v>
      </c>
      <c r="F213" s="5" t="s">
        <v>162</v>
      </c>
      <c r="G213" s="5">
        <v>10</v>
      </c>
      <c r="H213" s="5">
        <v>6040</v>
      </c>
      <c r="I213" s="5">
        <v>0</v>
      </c>
      <c r="J213" s="5" t="s">
        <v>163</v>
      </c>
      <c r="K213" s="6">
        <v>750</v>
      </c>
      <c r="L213" s="83">
        <f>VLOOKUP(F213, [4]Export1!$B$9:$H$237,7,FALSE)</f>
        <v>12117.98</v>
      </c>
      <c r="M213" s="103">
        <f t="shared" si="3"/>
        <v>-11367.98</v>
      </c>
    </row>
    <row r="214" spans="1:13" ht="13.5" customHeight="1" x14ac:dyDescent="0.2">
      <c r="A214" s="1">
        <v>203</v>
      </c>
      <c r="B214" s="1">
        <v>5</v>
      </c>
      <c r="C214" s="1">
        <v>35</v>
      </c>
      <c r="D214" s="1">
        <v>53</v>
      </c>
      <c r="E214" s="1" t="s">
        <v>165</v>
      </c>
      <c r="F214" s="5" t="s">
        <v>164</v>
      </c>
      <c r="G214" s="5">
        <v>35</v>
      </c>
      <c r="H214" s="5">
        <v>6040</v>
      </c>
      <c r="I214" s="5">
        <v>0</v>
      </c>
      <c r="J214" s="5" t="s">
        <v>165</v>
      </c>
      <c r="K214" s="6">
        <v>48712.99</v>
      </c>
      <c r="L214" s="83">
        <f>VLOOKUP(F214, [4]Export1!$B$9:$H$237,7,FALSE)</f>
        <v>23800</v>
      </c>
      <c r="M214" s="103">
        <f t="shared" si="3"/>
        <v>24912.989999999998</v>
      </c>
    </row>
    <row r="215" spans="1:13" ht="13.5" customHeight="1" x14ac:dyDescent="0.2">
      <c r="A215" s="1">
        <v>235</v>
      </c>
      <c r="B215" s="1">
        <v>5</v>
      </c>
      <c r="C215" s="1">
        <v>37</v>
      </c>
      <c r="D215" s="1">
        <v>53</v>
      </c>
      <c r="E215" s="1" t="s">
        <v>165</v>
      </c>
      <c r="F215" s="88" t="s">
        <v>573</v>
      </c>
      <c r="G215" s="88">
        <v>37</v>
      </c>
      <c r="H215" s="88">
        <v>6040</v>
      </c>
      <c r="I215" s="5">
        <v>0</v>
      </c>
      <c r="J215" s="5" t="s">
        <v>581</v>
      </c>
      <c r="K215" s="6"/>
      <c r="L215" s="83">
        <f>VLOOKUP(F215, [4]Export1!$B$9:$H$237,7,FALSE)</f>
        <v>4000</v>
      </c>
      <c r="M215" s="103">
        <f t="shared" si="3"/>
        <v>-4000</v>
      </c>
    </row>
    <row r="216" spans="1:13" ht="13.5" customHeight="1" x14ac:dyDescent="0.2">
      <c r="A216" s="1">
        <v>96</v>
      </c>
      <c r="B216" s="1">
        <v>5</v>
      </c>
      <c r="C216" s="1">
        <v>10</v>
      </c>
      <c r="D216" s="1">
        <v>54</v>
      </c>
      <c r="E216" s="1" t="s">
        <v>552</v>
      </c>
      <c r="F216" s="5" t="s">
        <v>209</v>
      </c>
      <c r="G216" s="5">
        <v>10</v>
      </c>
      <c r="H216" s="5">
        <v>6100</v>
      </c>
      <c r="I216" s="5">
        <v>0</v>
      </c>
      <c r="J216" s="5" t="s">
        <v>210</v>
      </c>
      <c r="K216" s="6">
        <v>51373.93</v>
      </c>
      <c r="L216" s="83">
        <f>VLOOKUP(F216, [4]Export1!$B$9:$H$237,7,FALSE)</f>
        <v>43755.89</v>
      </c>
      <c r="M216" s="103">
        <f t="shared" si="3"/>
        <v>7618.0400000000009</v>
      </c>
    </row>
    <row r="217" spans="1:13" ht="13.5" customHeight="1" x14ac:dyDescent="0.2">
      <c r="A217" s="1">
        <v>97</v>
      </c>
      <c r="B217" s="1">
        <v>5</v>
      </c>
      <c r="C217" s="1">
        <v>0</v>
      </c>
      <c r="D217" s="1">
        <v>63</v>
      </c>
      <c r="E217" s="1" t="s">
        <v>551</v>
      </c>
      <c r="F217" s="5" t="s">
        <v>404</v>
      </c>
      <c r="G217" s="5">
        <v>10</v>
      </c>
      <c r="H217" s="5">
        <v>6120</v>
      </c>
      <c r="I217" s="5">
        <v>0</v>
      </c>
      <c r="J217" s="5" t="s">
        <v>405</v>
      </c>
      <c r="K217" s="6"/>
      <c r="L217" s="83">
        <f>VLOOKUP(F217, [4]Export1!$B$9:$H$237,7,FALSE)</f>
        <v>3689.63</v>
      </c>
      <c r="M217" s="103">
        <f t="shared" si="3"/>
        <v>-3689.63</v>
      </c>
    </row>
    <row r="218" spans="1:13" ht="13.5" customHeight="1" x14ac:dyDescent="0.2">
      <c r="A218" s="1">
        <v>98</v>
      </c>
      <c r="B218" s="1">
        <v>5</v>
      </c>
      <c r="C218" s="1">
        <v>10</v>
      </c>
      <c r="D218" s="1">
        <v>63</v>
      </c>
      <c r="E218" s="1" t="s">
        <v>551</v>
      </c>
      <c r="F218" s="5" t="s">
        <v>211</v>
      </c>
      <c r="G218" s="5">
        <v>10</v>
      </c>
      <c r="H218" s="5">
        <v>6140</v>
      </c>
      <c r="I218" s="5">
        <v>0</v>
      </c>
      <c r="J218" s="5" t="s">
        <v>212</v>
      </c>
      <c r="K218" s="6">
        <v>18404.54</v>
      </c>
      <c r="L218" s="83">
        <f>VLOOKUP(F218, [4]Export1!$B$9:$H$237,7,FALSE)</f>
        <v>8418.2199999999993</v>
      </c>
      <c r="M218" s="103">
        <f t="shared" si="3"/>
        <v>9986.3200000000015</v>
      </c>
    </row>
    <row r="219" spans="1:13" ht="13.5" customHeight="1" x14ac:dyDescent="0.2">
      <c r="A219" s="1">
        <v>99</v>
      </c>
      <c r="B219" s="1">
        <v>5</v>
      </c>
      <c r="C219" s="1">
        <v>10</v>
      </c>
      <c r="D219" s="1">
        <v>55</v>
      </c>
      <c r="E219" s="1" t="s">
        <v>553</v>
      </c>
      <c r="F219" s="5" t="s">
        <v>327</v>
      </c>
      <c r="G219" s="5">
        <v>10</v>
      </c>
      <c r="H219" s="5">
        <v>6200</v>
      </c>
      <c r="I219" s="5">
        <v>0</v>
      </c>
      <c r="J219" s="5" t="s">
        <v>328</v>
      </c>
      <c r="K219" s="6">
        <v>12946.48</v>
      </c>
      <c r="L219" s="83">
        <f>VLOOKUP(F219, [4]Export1!$B$9:$H$237,7,FALSE)</f>
        <v>10787.92</v>
      </c>
      <c r="M219" s="103">
        <f t="shared" si="3"/>
        <v>2158.5599999999995</v>
      </c>
    </row>
    <row r="220" spans="1:13" ht="13.5" customHeight="1" x14ac:dyDescent="0.2">
      <c r="A220" s="1">
        <v>100</v>
      </c>
      <c r="B220" s="1">
        <v>5</v>
      </c>
      <c r="C220" s="1">
        <v>10</v>
      </c>
      <c r="D220" s="1">
        <v>55</v>
      </c>
      <c r="E220" s="1" t="s">
        <v>553</v>
      </c>
      <c r="F220" s="5" t="s">
        <v>143</v>
      </c>
      <c r="G220" s="5">
        <v>10</v>
      </c>
      <c r="H220" s="5">
        <v>6220</v>
      </c>
      <c r="I220" s="5">
        <v>0</v>
      </c>
      <c r="J220" s="5" t="s">
        <v>144</v>
      </c>
      <c r="K220" s="6">
        <v>17565.64</v>
      </c>
      <c r="L220" s="83">
        <f>VLOOKUP(F220, [4]Export1!$B$9:$H$237,7,FALSE)</f>
        <v>8220.77</v>
      </c>
      <c r="M220" s="103">
        <f t="shared" si="3"/>
        <v>9344.869999999999</v>
      </c>
    </row>
    <row r="221" spans="1:13" ht="13.5" customHeight="1" x14ac:dyDescent="0.2">
      <c r="A221" s="1">
        <v>148</v>
      </c>
      <c r="B221" s="1">
        <v>5</v>
      </c>
      <c r="C221" s="1">
        <v>20</v>
      </c>
      <c r="D221" s="1">
        <v>55</v>
      </c>
      <c r="E221" s="1" t="s">
        <v>553</v>
      </c>
      <c r="F221" s="5" t="s">
        <v>408</v>
      </c>
      <c r="G221" s="5">
        <v>20</v>
      </c>
      <c r="H221" s="5">
        <v>6220</v>
      </c>
      <c r="I221" s="5">
        <v>0</v>
      </c>
      <c r="J221" s="5" t="s">
        <v>409</v>
      </c>
      <c r="K221" s="6"/>
      <c r="L221" s="83">
        <v>0</v>
      </c>
      <c r="M221" s="103">
        <f t="shared" si="3"/>
        <v>0</v>
      </c>
    </row>
    <row r="222" spans="1:13" ht="13.5" customHeight="1" x14ac:dyDescent="0.2">
      <c r="A222" s="1">
        <v>228</v>
      </c>
      <c r="B222" s="1">
        <v>5</v>
      </c>
      <c r="C222" s="1">
        <v>0</v>
      </c>
      <c r="D222" s="1">
        <v>55</v>
      </c>
      <c r="E222" s="1" t="s">
        <v>553</v>
      </c>
      <c r="F222" s="5" t="s">
        <v>390</v>
      </c>
      <c r="G222" s="5">
        <v>36</v>
      </c>
      <c r="H222" s="5">
        <v>6220</v>
      </c>
      <c r="I222" s="5">
        <v>0</v>
      </c>
      <c r="J222" s="5" t="s">
        <v>144</v>
      </c>
      <c r="K222" s="6"/>
      <c r="L222" s="83">
        <f>VLOOKUP(F222, [4]Export1!$B$9:$H$237,7,FALSE)</f>
        <v>923.94</v>
      </c>
      <c r="M222" s="103">
        <f t="shared" si="3"/>
        <v>-923.94</v>
      </c>
    </row>
    <row r="223" spans="1:13" ht="13.5" customHeight="1" x14ac:dyDescent="0.2">
      <c r="A223" s="1">
        <v>101</v>
      </c>
      <c r="B223" s="1">
        <v>5</v>
      </c>
      <c r="C223" s="1">
        <v>0</v>
      </c>
      <c r="D223" s="1">
        <v>55</v>
      </c>
      <c r="E223" s="1" t="s">
        <v>553</v>
      </c>
      <c r="F223" s="5" t="s">
        <v>290</v>
      </c>
      <c r="G223" s="5">
        <v>10</v>
      </c>
      <c r="H223" s="5">
        <v>6300</v>
      </c>
      <c r="I223" s="5">
        <v>0</v>
      </c>
      <c r="J223" s="5" t="s">
        <v>291</v>
      </c>
      <c r="K223" s="6"/>
      <c r="L223" s="83">
        <f>VLOOKUP(F223, [4]Export1!$B$9:$H$237,7,FALSE)</f>
        <v>612.26</v>
      </c>
      <c r="M223" s="103">
        <f t="shared" si="3"/>
        <v>-612.26</v>
      </c>
    </row>
    <row r="224" spans="1:13" ht="13.5" customHeight="1" x14ac:dyDescent="0.2">
      <c r="A224" s="1">
        <v>102</v>
      </c>
      <c r="B224" s="1">
        <v>5</v>
      </c>
      <c r="C224" s="1">
        <v>10</v>
      </c>
      <c r="D224" s="1">
        <v>57</v>
      </c>
      <c r="E224" s="1" t="s">
        <v>554</v>
      </c>
      <c r="F224" s="5" t="s">
        <v>302</v>
      </c>
      <c r="G224" s="5">
        <v>10</v>
      </c>
      <c r="H224" s="5">
        <v>6310</v>
      </c>
      <c r="I224" s="5">
        <v>0</v>
      </c>
      <c r="J224" s="5" t="s">
        <v>303</v>
      </c>
      <c r="K224" s="6">
        <v>13547</v>
      </c>
      <c r="L224" s="83">
        <f>VLOOKUP(F224, [4]Export1!$B$9:$H$237,7,FALSE)</f>
        <v>7716.57</v>
      </c>
      <c r="M224" s="103">
        <f t="shared" si="3"/>
        <v>5830.43</v>
      </c>
    </row>
    <row r="225" spans="1:13" ht="13.5" customHeight="1" x14ac:dyDescent="0.2">
      <c r="A225" s="1">
        <v>284</v>
      </c>
      <c r="B225" s="1">
        <v>5</v>
      </c>
      <c r="C225" s="1">
        <v>80</v>
      </c>
      <c r="D225" s="1">
        <v>57</v>
      </c>
      <c r="E225" s="1" t="s">
        <v>554</v>
      </c>
      <c r="F225" s="5" t="s">
        <v>304</v>
      </c>
      <c r="G225" s="5">
        <v>80</v>
      </c>
      <c r="H225" s="5">
        <v>6310</v>
      </c>
      <c r="I225" s="5">
        <v>0</v>
      </c>
      <c r="J225" s="5" t="s">
        <v>303</v>
      </c>
      <c r="K225" s="6">
        <v>5.76</v>
      </c>
      <c r="L225" s="83">
        <v>0</v>
      </c>
      <c r="M225" s="103">
        <f t="shared" si="3"/>
        <v>5.76</v>
      </c>
    </row>
    <row r="226" spans="1:13" ht="13.5" customHeight="1" x14ac:dyDescent="0.2">
      <c r="A226" s="1">
        <v>103</v>
      </c>
      <c r="B226" s="1">
        <v>5</v>
      </c>
      <c r="C226" s="1">
        <v>10</v>
      </c>
      <c r="D226" s="1">
        <v>70</v>
      </c>
      <c r="E226" s="1" t="s">
        <v>550</v>
      </c>
      <c r="F226" s="5" t="s">
        <v>279</v>
      </c>
      <c r="G226" s="5">
        <v>10</v>
      </c>
      <c r="H226" s="5">
        <v>6320</v>
      </c>
      <c r="I226" s="5">
        <v>0</v>
      </c>
      <c r="J226" s="5" t="s">
        <v>280</v>
      </c>
      <c r="K226" s="6">
        <v>1132.3499999999999</v>
      </c>
      <c r="L226" s="83">
        <f>VLOOKUP(F226, [4]Export1!$B$9:$H$237,7,FALSE)</f>
        <v>2531.42</v>
      </c>
      <c r="M226" s="103">
        <f t="shared" si="3"/>
        <v>-1399.0700000000002</v>
      </c>
    </row>
    <row r="227" spans="1:13" ht="13.5" customHeight="1" x14ac:dyDescent="0.2">
      <c r="A227" s="1">
        <v>129</v>
      </c>
      <c r="B227" s="1">
        <v>5</v>
      </c>
      <c r="C227" s="1">
        <v>11</v>
      </c>
      <c r="D227" s="1">
        <v>70</v>
      </c>
      <c r="E227" s="1" t="s">
        <v>550</v>
      </c>
      <c r="F227" s="88" t="s">
        <v>569</v>
      </c>
      <c r="G227" s="88">
        <v>11</v>
      </c>
      <c r="H227" s="88">
        <v>6320</v>
      </c>
      <c r="I227" s="5">
        <v>0</v>
      </c>
      <c r="J227" s="5" t="s">
        <v>579</v>
      </c>
      <c r="K227" s="6"/>
      <c r="L227" s="83">
        <f>VLOOKUP(F227, [4]Export1!$B$9:$H$237,7,FALSE)</f>
        <v>79.31</v>
      </c>
      <c r="M227" s="103">
        <f t="shared" si="3"/>
        <v>-79.31</v>
      </c>
    </row>
    <row r="228" spans="1:13" ht="13.5" customHeight="1" x14ac:dyDescent="0.2">
      <c r="A228" s="1">
        <v>172</v>
      </c>
      <c r="B228" s="1">
        <v>1</v>
      </c>
      <c r="C228" s="1">
        <v>25</v>
      </c>
      <c r="D228" s="1">
        <v>15</v>
      </c>
      <c r="E228" s="1" t="s">
        <v>559</v>
      </c>
      <c r="F228" s="5" t="s">
        <v>532</v>
      </c>
      <c r="G228" s="5">
        <v>25</v>
      </c>
      <c r="H228" s="5">
        <v>6320</v>
      </c>
      <c r="I228" s="5">
        <v>0</v>
      </c>
      <c r="J228" t="s">
        <v>538</v>
      </c>
      <c r="K228" s="6"/>
      <c r="L228" s="83">
        <f>VLOOKUP(F228, [4]Export1!$B$9:$H$237,7,FALSE)</f>
        <v>150.22999999999999</v>
      </c>
      <c r="M228" s="103">
        <f t="shared" si="3"/>
        <v>-150.22999999999999</v>
      </c>
    </row>
    <row r="229" spans="1:13" ht="13.5" customHeight="1" x14ac:dyDescent="0.2">
      <c r="A229" s="1">
        <v>173</v>
      </c>
      <c r="B229" s="1">
        <v>1</v>
      </c>
      <c r="C229" s="1">
        <v>25</v>
      </c>
      <c r="D229" s="1">
        <v>15</v>
      </c>
      <c r="E229" s="1" t="s">
        <v>559</v>
      </c>
      <c r="F229" s="5" t="s">
        <v>531</v>
      </c>
      <c r="G229" s="5">
        <v>25</v>
      </c>
      <c r="H229" s="5">
        <v>6320</v>
      </c>
      <c r="I229" s="5">
        <v>28</v>
      </c>
      <c r="J229" t="s">
        <v>537</v>
      </c>
      <c r="K229" s="6"/>
      <c r="L229" s="83">
        <f>VLOOKUP(F229, [4]Export1!$B$9:$H$237,7,FALSE)</f>
        <v>-150.22999999999999</v>
      </c>
      <c r="M229" s="103">
        <f t="shared" si="3"/>
        <v>150.22999999999999</v>
      </c>
    </row>
    <row r="230" spans="1:13" ht="13.5" customHeight="1" x14ac:dyDescent="0.2">
      <c r="A230" s="1">
        <v>204</v>
      </c>
      <c r="B230" s="1">
        <v>5</v>
      </c>
      <c r="C230" s="1">
        <v>0</v>
      </c>
      <c r="D230" s="1">
        <v>70</v>
      </c>
      <c r="E230" s="1" t="s">
        <v>550</v>
      </c>
      <c r="F230" s="5" t="s">
        <v>419</v>
      </c>
      <c r="G230" s="5">
        <v>35</v>
      </c>
      <c r="H230" s="5">
        <v>6320</v>
      </c>
      <c r="I230" s="5">
        <v>0</v>
      </c>
      <c r="J230" s="5" t="s">
        <v>277</v>
      </c>
      <c r="K230" s="6"/>
      <c r="L230" s="83">
        <f>VLOOKUP(F230, [4]Export1!$B$9:$H$237,7,FALSE)</f>
        <v>432.63</v>
      </c>
      <c r="M230" s="103">
        <f t="shared" si="3"/>
        <v>-432.63</v>
      </c>
    </row>
    <row r="231" spans="1:13" ht="13.5" customHeight="1" x14ac:dyDescent="0.2">
      <c r="A231" s="1">
        <v>229</v>
      </c>
      <c r="B231" s="1">
        <v>5</v>
      </c>
      <c r="C231" s="1">
        <v>0</v>
      </c>
      <c r="D231" s="1">
        <v>70</v>
      </c>
      <c r="E231" s="1" t="s">
        <v>550</v>
      </c>
      <c r="F231" s="5" t="s">
        <v>278</v>
      </c>
      <c r="G231" s="5">
        <v>36</v>
      </c>
      <c r="H231" s="5">
        <v>6320</v>
      </c>
      <c r="I231" s="5">
        <v>0</v>
      </c>
      <c r="J231" s="5" t="s">
        <v>277</v>
      </c>
      <c r="K231" s="6"/>
      <c r="L231" s="83">
        <f>VLOOKUP(F231, [4]Export1!$B$9:$H$237,7,FALSE)</f>
        <v>39.53</v>
      </c>
      <c r="M231" s="103">
        <f t="shared" si="3"/>
        <v>-39.53</v>
      </c>
    </row>
    <row r="232" spans="1:13" ht="13.5" customHeight="1" x14ac:dyDescent="0.2">
      <c r="A232" s="1">
        <v>256</v>
      </c>
      <c r="B232" s="1">
        <v>5</v>
      </c>
      <c r="C232" s="1">
        <v>45</v>
      </c>
      <c r="D232" s="1">
        <v>70</v>
      </c>
      <c r="E232" s="1" t="s">
        <v>550</v>
      </c>
      <c r="F232" s="5" t="s">
        <v>281</v>
      </c>
      <c r="G232" s="5">
        <v>45</v>
      </c>
      <c r="H232" s="5">
        <v>6320</v>
      </c>
      <c r="I232" s="5">
        <v>0</v>
      </c>
      <c r="J232" s="5" t="s">
        <v>280</v>
      </c>
      <c r="K232" s="6">
        <v>44.55</v>
      </c>
      <c r="L232" s="83">
        <v>0</v>
      </c>
      <c r="M232" s="103">
        <f t="shared" si="3"/>
        <v>44.55</v>
      </c>
    </row>
    <row r="233" spans="1:13" ht="13.5" customHeight="1" x14ac:dyDescent="0.2">
      <c r="A233" s="1">
        <v>104</v>
      </c>
      <c r="B233" s="1">
        <v>5</v>
      </c>
      <c r="C233" s="1">
        <v>10</v>
      </c>
      <c r="D233" s="1">
        <v>70</v>
      </c>
      <c r="E233" s="1" t="s">
        <v>550</v>
      </c>
      <c r="F233" s="5" t="s">
        <v>215</v>
      </c>
      <c r="G233" s="5">
        <v>10</v>
      </c>
      <c r="H233" s="5">
        <v>6330</v>
      </c>
      <c r="I233" s="5">
        <v>0</v>
      </c>
      <c r="J233" s="5" t="s">
        <v>216</v>
      </c>
      <c r="K233" s="6">
        <v>1564.01</v>
      </c>
      <c r="L233" s="83">
        <v>0</v>
      </c>
      <c r="M233" s="103">
        <f t="shared" si="3"/>
        <v>1564.01</v>
      </c>
    </row>
    <row r="234" spans="1:13" ht="13.5" customHeight="1" x14ac:dyDescent="0.2">
      <c r="A234" s="1">
        <v>105</v>
      </c>
      <c r="B234" s="1">
        <v>5</v>
      </c>
      <c r="C234" s="1">
        <v>10</v>
      </c>
      <c r="D234" s="1">
        <v>57</v>
      </c>
      <c r="E234" s="1" t="s">
        <v>554</v>
      </c>
      <c r="F234" s="5" t="s">
        <v>268</v>
      </c>
      <c r="G234" s="5">
        <v>10</v>
      </c>
      <c r="H234" s="5">
        <v>6340</v>
      </c>
      <c r="I234" s="5">
        <v>0</v>
      </c>
      <c r="J234" s="5" t="s">
        <v>269</v>
      </c>
      <c r="K234" s="6">
        <v>1506.12</v>
      </c>
      <c r="L234" s="83">
        <f>VLOOKUP(F234, [4]Export1!$B$9:$H$237,7,FALSE)</f>
        <v>756.52</v>
      </c>
      <c r="M234" s="103">
        <f t="shared" si="3"/>
        <v>749.59999999999991</v>
      </c>
    </row>
    <row r="235" spans="1:13" ht="13.5" customHeight="1" x14ac:dyDescent="0.2">
      <c r="A235" s="1">
        <v>230</v>
      </c>
      <c r="B235" s="1">
        <v>5</v>
      </c>
      <c r="C235" s="1">
        <v>36</v>
      </c>
      <c r="D235" s="1">
        <v>57</v>
      </c>
      <c r="E235" s="1" t="s">
        <v>554</v>
      </c>
      <c r="F235" s="88" t="s">
        <v>571</v>
      </c>
      <c r="G235" s="88">
        <v>36</v>
      </c>
      <c r="H235" s="88">
        <v>6340</v>
      </c>
      <c r="I235" s="5">
        <v>0</v>
      </c>
      <c r="J235" s="5" t="s">
        <v>269</v>
      </c>
      <c r="K235" s="6"/>
      <c r="L235" s="83">
        <f>VLOOKUP(F235, [4]Export1!$B$9:$H$237,7,FALSE)</f>
        <v>192.26</v>
      </c>
      <c r="M235" s="103">
        <f t="shared" si="3"/>
        <v>-192.26</v>
      </c>
    </row>
    <row r="236" spans="1:13" ht="13.5" customHeight="1" x14ac:dyDescent="0.2">
      <c r="A236" s="1">
        <v>257</v>
      </c>
      <c r="B236" s="1">
        <v>5</v>
      </c>
      <c r="C236" s="1">
        <v>0</v>
      </c>
      <c r="D236" s="1">
        <v>57</v>
      </c>
      <c r="E236" s="1" t="s">
        <v>554</v>
      </c>
      <c r="F236" s="5" t="s">
        <v>422</v>
      </c>
      <c r="G236" s="5">
        <v>45</v>
      </c>
      <c r="H236" s="5">
        <v>6340</v>
      </c>
      <c r="I236" s="5">
        <v>0</v>
      </c>
      <c r="J236" s="5" t="s">
        <v>423</v>
      </c>
      <c r="K236" s="6"/>
      <c r="L236" s="83">
        <f>VLOOKUP(F236, [4]Export1!$B$9:$H$237,7,FALSE)</f>
        <v>138.07</v>
      </c>
      <c r="M236" s="103">
        <f t="shared" si="3"/>
        <v>-138.07</v>
      </c>
    </row>
    <row r="237" spans="1:13" ht="13.5" customHeight="1" x14ac:dyDescent="0.2">
      <c r="A237" s="1">
        <v>274</v>
      </c>
      <c r="B237" s="1">
        <v>5</v>
      </c>
      <c r="C237" s="1">
        <v>0</v>
      </c>
      <c r="D237" s="1">
        <v>57</v>
      </c>
      <c r="E237" s="1" t="s">
        <v>554</v>
      </c>
      <c r="F237" s="5" t="s">
        <v>424</v>
      </c>
      <c r="G237" s="5">
        <v>60</v>
      </c>
      <c r="H237" s="5">
        <v>6340</v>
      </c>
      <c r="I237" s="5">
        <v>0</v>
      </c>
      <c r="J237" s="5" t="s">
        <v>425</v>
      </c>
      <c r="K237" s="6"/>
      <c r="L237" s="83">
        <f>VLOOKUP(F237, [4]Export1!$B$9:$H$237,7,FALSE)</f>
        <v>27.6</v>
      </c>
      <c r="M237" s="103">
        <f t="shared" si="3"/>
        <v>-27.6</v>
      </c>
    </row>
    <row r="238" spans="1:13" ht="13.5" customHeight="1" x14ac:dyDescent="0.2">
      <c r="A238" s="1">
        <v>106</v>
      </c>
      <c r="B238" s="1">
        <v>5</v>
      </c>
      <c r="C238" s="1">
        <v>10</v>
      </c>
      <c r="D238" s="1">
        <v>69</v>
      </c>
      <c r="E238" s="1" t="s">
        <v>544</v>
      </c>
      <c r="F238" s="5" t="s">
        <v>198</v>
      </c>
      <c r="G238" s="5">
        <v>10</v>
      </c>
      <c r="H238" s="5">
        <v>6350</v>
      </c>
      <c r="I238" s="5">
        <v>0</v>
      </c>
      <c r="J238" s="5" t="s">
        <v>199</v>
      </c>
      <c r="K238" s="6">
        <v>4314.93</v>
      </c>
      <c r="L238" s="83">
        <f>VLOOKUP(F238, [4]Export1!$B$9:$H$237,7,FALSE)</f>
        <v>622.07000000000005</v>
      </c>
      <c r="M238" s="103">
        <f t="shared" si="3"/>
        <v>3692.86</v>
      </c>
    </row>
    <row r="239" spans="1:13" ht="13.5" customHeight="1" x14ac:dyDescent="0.2">
      <c r="A239" s="1">
        <v>174</v>
      </c>
      <c r="B239" s="1">
        <v>1</v>
      </c>
      <c r="C239" s="1">
        <v>25</v>
      </c>
      <c r="D239" s="1">
        <v>15</v>
      </c>
      <c r="E239" s="1" t="s">
        <v>559</v>
      </c>
      <c r="F239" s="5" t="s">
        <v>588</v>
      </c>
      <c r="G239" s="5">
        <v>25</v>
      </c>
      <c r="H239" s="5">
        <v>6350</v>
      </c>
      <c r="I239" s="5">
        <v>0</v>
      </c>
      <c r="J239" t="s">
        <v>597</v>
      </c>
      <c r="K239" s="6"/>
      <c r="L239" s="83">
        <f>VLOOKUP(F239, [4]Export1!$B$9:$H$237,7,FALSE)</f>
        <v>15.25</v>
      </c>
      <c r="M239" s="103">
        <f t="shared" si="3"/>
        <v>-15.25</v>
      </c>
    </row>
    <row r="240" spans="1:13" ht="13.5" customHeight="1" x14ac:dyDescent="0.2">
      <c r="A240" s="1">
        <v>175</v>
      </c>
      <c r="B240" s="1">
        <v>1</v>
      </c>
      <c r="C240" s="1">
        <v>25</v>
      </c>
      <c r="D240" s="1">
        <v>15</v>
      </c>
      <c r="E240" s="1" t="s">
        <v>559</v>
      </c>
      <c r="F240" s="5" t="s">
        <v>587</v>
      </c>
      <c r="G240" s="5">
        <v>25</v>
      </c>
      <c r="H240" s="5">
        <v>6350</v>
      </c>
      <c r="I240" s="5">
        <v>28</v>
      </c>
      <c r="J240" t="s">
        <v>596</v>
      </c>
      <c r="K240" s="6"/>
      <c r="L240" s="83">
        <f>VLOOKUP(F240, [4]Export1!$B$9:$H$237,7,FALSE)</f>
        <v>-15.25</v>
      </c>
      <c r="M240" s="103">
        <f t="shared" si="3"/>
        <v>15.25</v>
      </c>
    </row>
    <row r="241" spans="1:13" ht="13.5" customHeight="1" x14ac:dyDescent="0.2">
      <c r="A241" s="1">
        <v>258</v>
      </c>
      <c r="B241" s="1">
        <v>5</v>
      </c>
      <c r="C241" s="1">
        <v>45</v>
      </c>
      <c r="D241" s="1">
        <v>69</v>
      </c>
      <c r="E241" s="1" t="s">
        <v>544</v>
      </c>
      <c r="F241" s="5" t="s">
        <v>589</v>
      </c>
      <c r="G241" s="5">
        <v>45</v>
      </c>
      <c r="H241" s="5">
        <v>6350</v>
      </c>
      <c r="I241" s="5">
        <v>0</v>
      </c>
      <c r="J241" t="s">
        <v>598</v>
      </c>
      <c r="K241" s="6"/>
      <c r="L241" s="83">
        <f>VLOOKUP(F241, [4]Export1!$B$9:$H$237,7,FALSE)</f>
        <v>22.09</v>
      </c>
      <c r="M241" s="103">
        <f t="shared" si="3"/>
        <v>-22.09</v>
      </c>
    </row>
    <row r="242" spans="1:13" ht="13.5" customHeight="1" x14ac:dyDescent="0.2">
      <c r="A242" s="1">
        <v>275</v>
      </c>
      <c r="B242" s="1">
        <v>5</v>
      </c>
      <c r="C242" s="1">
        <v>60</v>
      </c>
      <c r="D242" s="1">
        <v>69</v>
      </c>
      <c r="E242" s="1" t="s">
        <v>544</v>
      </c>
      <c r="F242" s="5" t="s">
        <v>590</v>
      </c>
      <c r="G242" s="5">
        <v>60</v>
      </c>
      <c r="H242" s="5">
        <v>6350</v>
      </c>
      <c r="I242" s="5">
        <v>0</v>
      </c>
      <c r="J242" t="s">
        <v>599</v>
      </c>
      <c r="K242" s="6"/>
      <c r="L242" s="83">
        <f>VLOOKUP(F242, [4]Export1!$B$9:$H$237,7,FALSE)</f>
        <v>61.19</v>
      </c>
      <c r="M242" s="103">
        <f t="shared" si="3"/>
        <v>-61.19</v>
      </c>
    </row>
    <row r="243" spans="1:13" ht="13.5" customHeight="1" x14ac:dyDescent="0.2">
      <c r="A243" s="1">
        <v>287</v>
      </c>
      <c r="B243" s="1">
        <v>5</v>
      </c>
      <c r="C243" s="1">
        <v>80</v>
      </c>
      <c r="D243" s="1">
        <v>73</v>
      </c>
      <c r="E243" s="1" t="s">
        <v>547</v>
      </c>
      <c r="F243" s="5" t="s">
        <v>318</v>
      </c>
      <c r="G243" s="5">
        <v>120</v>
      </c>
      <c r="H243" s="5">
        <v>6360</v>
      </c>
      <c r="I243" s="5">
        <v>0</v>
      </c>
      <c r="J243" s="5" t="s">
        <v>317</v>
      </c>
      <c r="K243" s="6">
        <v>12803.45</v>
      </c>
      <c r="L243" s="83">
        <v>0</v>
      </c>
      <c r="M243" s="103">
        <f t="shared" si="3"/>
        <v>12803.45</v>
      </c>
    </row>
    <row r="244" spans="1:13" ht="13.5" customHeight="1" x14ac:dyDescent="0.2">
      <c r="A244" s="1">
        <v>107</v>
      </c>
      <c r="B244" s="1">
        <v>5</v>
      </c>
      <c r="C244" s="1">
        <v>10</v>
      </c>
      <c r="D244" s="1">
        <v>56</v>
      </c>
      <c r="E244" s="1" t="s">
        <v>555</v>
      </c>
      <c r="F244" s="5" t="s">
        <v>319</v>
      </c>
      <c r="G244" s="5">
        <v>10</v>
      </c>
      <c r="H244" s="5">
        <v>6400</v>
      </c>
      <c r="I244" s="5">
        <v>0</v>
      </c>
      <c r="J244" s="5" t="s">
        <v>320</v>
      </c>
      <c r="K244" s="6">
        <v>273239.52</v>
      </c>
      <c r="L244" s="83">
        <f>VLOOKUP(F244, [4]Export1!$B$9:$H$237,7,FALSE)</f>
        <v>204929.64</v>
      </c>
      <c r="M244" s="103">
        <f t="shared" si="3"/>
        <v>68309.88</v>
      </c>
    </row>
    <row r="245" spans="1:13" ht="13.5" customHeight="1" x14ac:dyDescent="0.2">
      <c r="A245" s="1">
        <v>108</v>
      </c>
      <c r="B245" s="1">
        <v>5</v>
      </c>
      <c r="C245" s="1">
        <v>10</v>
      </c>
      <c r="D245" s="1">
        <v>56</v>
      </c>
      <c r="E245" s="1" t="s">
        <v>555</v>
      </c>
      <c r="F245" s="5" t="s">
        <v>141</v>
      </c>
      <c r="G245" s="5">
        <v>10</v>
      </c>
      <c r="H245" s="5">
        <v>6401</v>
      </c>
      <c r="I245" s="5">
        <v>0</v>
      </c>
      <c r="J245" s="5" t="s">
        <v>142</v>
      </c>
      <c r="K245" s="6">
        <v>7597.94</v>
      </c>
      <c r="L245" s="83">
        <v>0</v>
      </c>
      <c r="M245" s="103">
        <f t="shared" si="3"/>
        <v>7597.94</v>
      </c>
    </row>
    <row r="246" spans="1:13" ht="13.5" customHeight="1" x14ac:dyDescent="0.2">
      <c r="A246" s="1">
        <v>109</v>
      </c>
      <c r="B246" s="1">
        <v>5</v>
      </c>
      <c r="C246" s="1">
        <v>10</v>
      </c>
      <c r="D246" s="1">
        <v>56</v>
      </c>
      <c r="E246" s="1" t="s">
        <v>555</v>
      </c>
      <c r="F246" s="5" t="s">
        <v>346</v>
      </c>
      <c r="G246" s="5">
        <v>10</v>
      </c>
      <c r="H246" s="5">
        <v>6420</v>
      </c>
      <c r="I246" s="5">
        <v>0</v>
      </c>
      <c r="J246" s="5" t="s">
        <v>345</v>
      </c>
      <c r="K246" s="6">
        <v>11563.16</v>
      </c>
      <c r="L246" s="83">
        <f>VLOOKUP(F246, [4]Export1!$B$9:$H$237,7,FALSE)</f>
        <v>15444.46</v>
      </c>
      <c r="M246" s="103">
        <f t="shared" si="3"/>
        <v>-3881.2999999999993</v>
      </c>
    </row>
    <row r="247" spans="1:13" ht="13.5" customHeight="1" x14ac:dyDescent="0.2">
      <c r="A247" s="1">
        <v>110</v>
      </c>
      <c r="B247" s="1">
        <v>5</v>
      </c>
      <c r="C247" s="1">
        <v>10</v>
      </c>
      <c r="D247" s="1">
        <v>58</v>
      </c>
      <c r="E247" s="1" t="s">
        <v>556</v>
      </c>
      <c r="F247" s="5" t="s">
        <v>286</v>
      </c>
      <c r="G247" s="5">
        <v>10</v>
      </c>
      <c r="H247" s="5">
        <v>6500</v>
      </c>
      <c r="I247" s="5">
        <v>0</v>
      </c>
      <c r="J247" s="5" t="s">
        <v>287</v>
      </c>
      <c r="K247" s="6">
        <v>46130</v>
      </c>
      <c r="L247" s="83">
        <f>VLOOKUP(F247, [4]Export1!$B$9:$H$237,7,FALSE)</f>
        <v>16818.099999999999</v>
      </c>
      <c r="M247" s="103">
        <f t="shared" si="3"/>
        <v>29311.9</v>
      </c>
    </row>
    <row r="248" spans="1:13" ht="13.5" customHeight="1" x14ac:dyDescent="0.2">
      <c r="A248" s="1">
        <v>276</v>
      </c>
      <c r="B248" s="1">
        <v>5</v>
      </c>
      <c r="C248" s="1">
        <v>0</v>
      </c>
      <c r="D248" s="1">
        <v>58</v>
      </c>
      <c r="E248" s="1" t="s">
        <v>556</v>
      </c>
      <c r="F248" s="5" t="s">
        <v>394</v>
      </c>
      <c r="G248" s="5">
        <v>60</v>
      </c>
      <c r="H248" s="5">
        <v>6500</v>
      </c>
      <c r="I248" s="5">
        <v>0</v>
      </c>
      <c r="J248" s="5" t="s">
        <v>395</v>
      </c>
      <c r="K248" s="6"/>
      <c r="L248" s="83">
        <f>VLOOKUP(F248, [4]Export1!$B$9:$H$237,7,FALSE)</f>
        <v>99157.5</v>
      </c>
      <c r="M248" s="103">
        <f t="shared" si="3"/>
        <v>-99157.5</v>
      </c>
    </row>
    <row r="249" spans="1:13" ht="13.5" customHeight="1" x14ac:dyDescent="0.2">
      <c r="A249" s="1">
        <v>55</v>
      </c>
      <c r="B249" s="1">
        <v>5</v>
      </c>
      <c r="C249" s="1">
        <v>20</v>
      </c>
      <c r="D249" s="1">
        <v>64</v>
      </c>
      <c r="E249" s="1" t="s">
        <v>545</v>
      </c>
      <c r="F249" s="5" t="s">
        <v>305</v>
      </c>
      <c r="G249" s="5">
        <v>0</v>
      </c>
      <c r="H249" s="5">
        <v>6510</v>
      </c>
      <c r="I249" s="5">
        <v>0</v>
      </c>
      <c r="J249" s="5" t="s">
        <v>306</v>
      </c>
      <c r="K249" s="6">
        <v>1971</v>
      </c>
      <c r="L249" s="83">
        <v>0</v>
      </c>
      <c r="M249" s="103">
        <f t="shared" si="3"/>
        <v>1971</v>
      </c>
    </row>
    <row r="250" spans="1:13" ht="13.5" customHeight="1" x14ac:dyDescent="0.2">
      <c r="A250" s="1">
        <v>71</v>
      </c>
      <c r="B250" s="1">
        <v>5</v>
      </c>
      <c r="C250" s="1">
        <v>80</v>
      </c>
      <c r="D250" s="1">
        <v>64</v>
      </c>
      <c r="E250" s="1" t="s">
        <v>545</v>
      </c>
      <c r="F250" s="5" t="s">
        <v>288</v>
      </c>
      <c r="G250" s="5">
        <v>5</v>
      </c>
      <c r="H250" s="5">
        <v>6510</v>
      </c>
      <c r="I250" s="5">
        <v>0</v>
      </c>
      <c r="J250" s="5" t="s">
        <v>289</v>
      </c>
      <c r="K250" s="6">
        <v>123</v>
      </c>
      <c r="L250" s="83">
        <v>0</v>
      </c>
      <c r="M250" s="103">
        <f t="shared" si="3"/>
        <v>123</v>
      </c>
    </row>
    <row r="251" spans="1:13" ht="13.5" customHeight="1" x14ac:dyDescent="0.2">
      <c r="A251" s="1">
        <v>111</v>
      </c>
      <c r="B251" s="1">
        <v>5</v>
      </c>
      <c r="C251" s="1">
        <v>10</v>
      </c>
      <c r="D251" s="1">
        <v>64</v>
      </c>
      <c r="E251" s="1" t="s">
        <v>545</v>
      </c>
      <c r="F251" s="5" t="s">
        <v>307</v>
      </c>
      <c r="G251" s="5">
        <v>10</v>
      </c>
      <c r="H251" s="5">
        <v>6510</v>
      </c>
      <c r="I251" s="5">
        <v>0</v>
      </c>
      <c r="J251" s="5" t="s">
        <v>306</v>
      </c>
      <c r="K251" s="6">
        <v>102903.97</v>
      </c>
      <c r="L251" s="83">
        <f>VLOOKUP(F251, [4]Export1!$B$9:$H$237,7,FALSE)</f>
        <v>52259.61</v>
      </c>
      <c r="M251" s="103">
        <f t="shared" si="3"/>
        <v>50644.36</v>
      </c>
    </row>
    <row r="252" spans="1:13" ht="13.5" customHeight="1" x14ac:dyDescent="0.2">
      <c r="A252" s="1">
        <v>176</v>
      </c>
      <c r="B252" s="1">
        <v>1</v>
      </c>
      <c r="C252" s="1">
        <v>25</v>
      </c>
      <c r="D252" s="1">
        <v>15</v>
      </c>
      <c r="E252" s="1" t="s">
        <v>559</v>
      </c>
      <c r="F252" s="5" t="s">
        <v>383</v>
      </c>
      <c r="G252" s="5">
        <v>25</v>
      </c>
      <c r="H252" s="5">
        <v>6510</v>
      </c>
      <c r="I252" s="5">
        <v>0</v>
      </c>
      <c r="J252" s="5" t="s">
        <v>384</v>
      </c>
      <c r="K252" s="6"/>
      <c r="L252" s="83">
        <v>0</v>
      </c>
      <c r="M252" s="103">
        <f t="shared" si="3"/>
        <v>0</v>
      </c>
    </row>
    <row r="253" spans="1:13" ht="13.5" customHeight="1" x14ac:dyDescent="0.2">
      <c r="A253" s="1">
        <v>205</v>
      </c>
      <c r="B253" s="1">
        <v>5</v>
      </c>
      <c r="C253" s="1">
        <v>35</v>
      </c>
      <c r="D253" s="1">
        <v>64</v>
      </c>
      <c r="E253" s="1" t="s">
        <v>545</v>
      </c>
      <c r="F253" s="5" t="s">
        <v>354</v>
      </c>
      <c r="G253" s="5">
        <v>35</v>
      </c>
      <c r="H253" s="5">
        <v>6510</v>
      </c>
      <c r="I253" s="5">
        <v>0</v>
      </c>
      <c r="J253" s="5" t="s">
        <v>355</v>
      </c>
      <c r="K253" s="6">
        <v>17405.5</v>
      </c>
      <c r="L253" s="83">
        <f>VLOOKUP(F253, [4]Export1!$B$9:$H$237,7,FALSE)</f>
        <v>16834.7</v>
      </c>
      <c r="M253" s="103">
        <f t="shared" si="3"/>
        <v>570.79999999999927</v>
      </c>
    </row>
    <row r="254" spans="1:13" ht="13.5" customHeight="1" x14ac:dyDescent="0.2">
      <c r="A254" s="1">
        <v>285</v>
      </c>
      <c r="B254" s="1">
        <v>5</v>
      </c>
      <c r="C254" s="1">
        <v>80</v>
      </c>
      <c r="D254" s="1">
        <v>64</v>
      </c>
      <c r="E254" s="1" t="s">
        <v>545</v>
      </c>
      <c r="F254" s="5" t="s">
        <v>308</v>
      </c>
      <c r="G254" s="5">
        <v>80</v>
      </c>
      <c r="H254" s="5">
        <v>6510</v>
      </c>
      <c r="I254" s="5">
        <v>0</v>
      </c>
      <c r="J254" s="5" t="s">
        <v>306</v>
      </c>
      <c r="K254" s="6">
        <v>86.33</v>
      </c>
      <c r="L254" s="83">
        <v>0</v>
      </c>
      <c r="M254" s="103">
        <f t="shared" si="3"/>
        <v>86.33</v>
      </c>
    </row>
    <row r="255" spans="1:13" ht="13.5" customHeight="1" x14ac:dyDescent="0.2">
      <c r="A255" s="1">
        <v>177</v>
      </c>
      <c r="B255" s="1">
        <v>1</v>
      </c>
      <c r="C255" s="1">
        <v>25</v>
      </c>
      <c r="D255" s="1">
        <v>15</v>
      </c>
      <c r="E255" s="1" t="s">
        <v>559</v>
      </c>
      <c r="F255" s="5" t="s">
        <v>594</v>
      </c>
      <c r="G255" s="5">
        <v>25</v>
      </c>
      <c r="H255" s="5">
        <v>6512</v>
      </c>
      <c r="I255" s="5">
        <v>0</v>
      </c>
      <c r="J255" t="s">
        <v>603</v>
      </c>
      <c r="K255" s="6"/>
      <c r="L255" s="83">
        <f>VLOOKUP(F255, [4]Export1!$B$9:$H$237,7,FALSE)</f>
        <v>13000</v>
      </c>
      <c r="M255" s="103">
        <f t="shared" si="3"/>
        <v>-13000</v>
      </c>
    </row>
    <row r="256" spans="1:13" ht="13.5" customHeight="1" x14ac:dyDescent="0.2">
      <c r="A256" s="1">
        <v>178</v>
      </c>
      <c r="B256" s="1">
        <v>1</v>
      </c>
      <c r="C256" s="1">
        <v>25</v>
      </c>
      <c r="D256" s="1">
        <v>15</v>
      </c>
      <c r="E256" s="1" t="s">
        <v>559</v>
      </c>
      <c r="F256" s="5" t="s">
        <v>585</v>
      </c>
      <c r="G256" s="5">
        <v>25</v>
      </c>
      <c r="H256" s="5">
        <v>6512</v>
      </c>
      <c r="I256" s="5">
        <v>28</v>
      </c>
      <c r="J256" t="s">
        <v>595</v>
      </c>
      <c r="K256" s="6"/>
      <c r="L256" s="83">
        <f>VLOOKUP(F256, [4]Export1!$B$9:$H$237,7,FALSE)</f>
        <v>-13000</v>
      </c>
      <c r="M256" s="103">
        <f t="shared" si="3"/>
        <v>13000</v>
      </c>
    </row>
    <row r="257" spans="1:13" ht="13.5" customHeight="1" x14ac:dyDescent="0.2">
      <c r="A257" s="1">
        <v>112</v>
      </c>
      <c r="B257" s="1">
        <v>5</v>
      </c>
      <c r="C257" s="1">
        <v>10</v>
      </c>
      <c r="D257" s="1">
        <v>66</v>
      </c>
      <c r="E257" s="1" t="s">
        <v>312</v>
      </c>
      <c r="F257" s="5" t="s">
        <v>311</v>
      </c>
      <c r="G257" s="5">
        <v>10</v>
      </c>
      <c r="H257" s="5">
        <v>6520</v>
      </c>
      <c r="I257" s="5">
        <v>0</v>
      </c>
      <c r="J257" s="5" t="s">
        <v>312</v>
      </c>
      <c r="K257" s="6">
        <v>94138.19</v>
      </c>
      <c r="L257" s="83">
        <f>VLOOKUP(F257, [4]Export1!$B$9:$H$237,7,FALSE)</f>
        <v>30609.9</v>
      </c>
      <c r="M257" s="103">
        <f t="shared" si="3"/>
        <v>63528.29</v>
      </c>
    </row>
    <row r="258" spans="1:13" ht="13.5" customHeight="1" x14ac:dyDescent="0.2">
      <c r="A258" s="1">
        <v>179</v>
      </c>
      <c r="B258" s="1">
        <v>1</v>
      </c>
      <c r="C258" s="1">
        <v>25</v>
      </c>
      <c r="D258" s="1">
        <v>15</v>
      </c>
      <c r="E258" s="1" t="s">
        <v>559</v>
      </c>
      <c r="F258" s="5" t="s">
        <v>412</v>
      </c>
      <c r="G258" s="5">
        <v>25</v>
      </c>
      <c r="H258" s="5">
        <v>6520</v>
      </c>
      <c r="I258" s="5">
        <v>0</v>
      </c>
      <c r="J258" s="5" t="s">
        <v>312</v>
      </c>
      <c r="K258" s="6"/>
      <c r="L258" s="83">
        <f>VLOOKUP(F258, [4]Export1!$B$9:$H$237,7,FALSE)</f>
        <v>3151.13</v>
      </c>
      <c r="M258" s="103">
        <f t="shared" si="3"/>
        <v>-3151.13</v>
      </c>
    </row>
    <row r="259" spans="1:13" ht="13.5" customHeight="1" x14ac:dyDescent="0.2">
      <c r="A259" s="1">
        <v>180</v>
      </c>
      <c r="B259" s="1">
        <v>1</v>
      </c>
      <c r="C259" s="1">
        <v>25</v>
      </c>
      <c r="D259" s="1">
        <v>15</v>
      </c>
      <c r="E259" s="1" t="s">
        <v>559</v>
      </c>
      <c r="F259" s="5" t="s">
        <v>413</v>
      </c>
      <c r="G259" s="5">
        <v>25</v>
      </c>
      <c r="H259" s="5">
        <v>6520</v>
      </c>
      <c r="I259" s="5">
        <v>28</v>
      </c>
      <c r="J259" s="5" t="s">
        <v>414</v>
      </c>
      <c r="K259" s="6"/>
      <c r="L259" s="83">
        <f>VLOOKUP(F259, [4]Export1!$B$9:$H$237,7,FALSE)</f>
        <v>-3151.13</v>
      </c>
      <c r="M259" s="103">
        <f t="shared" ref="M259:M288" si="4">K259-L259</f>
        <v>3151.13</v>
      </c>
    </row>
    <row r="260" spans="1:13" ht="13.5" customHeight="1" x14ac:dyDescent="0.2">
      <c r="A260" s="1">
        <v>206</v>
      </c>
      <c r="B260" s="1">
        <v>5</v>
      </c>
      <c r="C260" s="1">
        <v>35</v>
      </c>
      <c r="D260" s="1">
        <v>66</v>
      </c>
      <c r="E260" s="1" t="s">
        <v>312</v>
      </c>
      <c r="F260" s="5" t="s">
        <v>309</v>
      </c>
      <c r="G260" s="5">
        <v>35</v>
      </c>
      <c r="H260" s="5">
        <v>6520</v>
      </c>
      <c r="I260" s="5">
        <v>0</v>
      </c>
      <c r="J260" s="5" t="s">
        <v>310</v>
      </c>
      <c r="K260" s="6">
        <v>1870.93</v>
      </c>
      <c r="L260" s="83">
        <v>0</v>
      </c>
      <c r="M260" s="103">
        <f t="shared" si="4"/>
        <v>1870.93</v>
      </c>
    </row>
    <row r="261" spans="1:13" ht="13.5" customHeight="1" x14ac:dyDescent="0.2">
      <c r="A261" s="1">
        <v>231</v>
      </c>
      <c r="B261" s="1">
        <v>5</v>
      </c>
      <c r="C261" s="1">
        <v>36</v>
      </c>
      <c r="D261" s="1">
        <v>69</v>
      </c>
      <c r="E261" s="1" t="s">
        <v>544</v>
      </c>
      <c r="F261" s="5" t="s">
        <v>593</v>
      </c>
      <c r="G261" s="5">
        <v>36</v>
      </c>
      <c r="H261" s="5">
        <v>6525</v>
      </c>
      <c r="I261" s="5">
        <v>0</v>
      </c>
      <c r="J261" t="s">
        <v>602</v>
      </c>
      <c r="K261" s="6"/>
      <c r="L261" s="83">
        <f>VLOOKUP(F261, [4]Export1!$B$9:$H$237,7,FALSE)</f>
        <v>5311</v>
      </c>
      <c r="M261" s="103">
        <f t="shared" si="4"/>
        <v>-5311</v>
      </c>
    </row>
    <row r="262" spans="1:13" ht="13.5" customHeight="1" x14ac:dyDescent="0.2">
      <c r="A262" s="1">
        <v>56</v>
      </c>
      <c r="B262" s="1">
        <v>5</v>
      </c>
      <c r="C262" s="1">
        <v>10</v>
      </c>
      <c r="D262" s="1">
        <v>67</v>
      </c>
      <c r="E262" s="1" t="s">
        <v>314</v>
      </c>
      <c r="F262" s="5" t="s">
        <v>353</v>
      </c>
      <c r="G262" s="5">
        <v>0</v>
      </c>
      <c r="H262" s="5">
        <v>6530</v>
      </c>
      <c r="I262" s="5">
        <v>0</v>
      </c>
      <c r="J262" s="5" t="s">
        <v>314</v>
      </c>
      <c r="K262" s="6">
        <v>10000</v>
      </c>
      <c r="L262" s="83">
        <v>0</v>
      </c>
      <c r="M262" s="103">
        <f t="shared" si="4"/>
        <v>10000</v>
      </c>
    </row>
    <row r="263" spans="1:13" ht="13.5" customHeight="1" x14ac:dyDescent="0.2">
      <c r="A263" s="1">
        <v>113</v>
      </c>
      <c r="B263" s="1">
        <v>5</v>
      </c>
      <c r="C263" s="1">
        <v>10</v>
      </c>
      <c r="D263" s="1">
        <v>67</v>
      </c>
      <c r="E263" s="1" t="s">
        <v>314</v>
      </c>
      <c r="F263" s="5" t="s">
        <v>313</v>
      </c>
      <c r="G263" s="5">
        <v>10</v>
      </c>
      <c r="H263" s="5">
        <v>6530</v>
      </c>
      <c r="I263" s="5">
        <v>0</v>
      </c>
      <c r="J263" s="5" t="s">
        <v>314</v>
      </c>
      <c r="K263" s="6">
        <v>128717.45</v>
      </c>
      <c r="L263" s="83">
        <f>VLOOKUP(F263, [4]Export1!$B$9:$H$237,7,FALSE)</f>
        <v>189307.16</v>
      </c>
      <c r="M263" s="103">
        <f t="shared" si="4"/>
        <v>-60589.710000000006</v>
      </c>
    </row>
    <row r="264" spans="1:13" ht="13.5" customHeight="1" x14ac:dyDescent="0.2">
      <c r="A264" s="1">
        <v>149</v>
      </c>
      <c r="B264" s="1">
        <v>5</v>
      </c>
      <c r="C264" s="1">
        <v>20</v>
      </c>
      <c r="D264" s="1">
        <v>67</v>
      </c>
      <c r="E264" s="1" t="s">
        <v>314</v>
      </c>
      <c r="F264" s="5" t="s">
        <v>315</v>
      </c>
      <c r="G264" s="5">
        <v>20</v>
      </c>
      <c r="H264" s="5">
        <v>6530</v>
      </c>
      <c r="I264" s="5">
        <v>0</v>
      </c>
      <c r="J264" s="5" t="s">
        <v>314</v>
      </c>
      <c r="K264" s="6">
        <v>9100.59</v>
      </c>
      <c r="L264" s="83">
        <v>0</v>
      </c>
      <c r="M264" s="103">
        <f t="shared" si="4"/>
        <v>9100.59</v>
      </c>
    </row>
    <row r="265" spans="1:13" ht="13.5" customHeight="1" x14ac:dyDescent="0.2">
      <c r="A265" s="1">
        <v>207</v>
      </c>
      <c r="B265" s="1">
        <v>5</v>
      </c>
      <c r="C265" s="1">
        <v>35</v>
      </c>
      <c r="D265" s="1">
        <v>67</v>
      </c>
      <c r="E265" s="1" t="s">
        <v>314</v>
      </c>
      <c r="F265" s="5" t="s">
        <v>316</v>
      </c>
      <c r="G265" s="5">
        <v>35</v>
      </c>
      <c r="H265" s="5">
        <v>6530</v>
      </c>
      <c r="I265" s="5">
        <v>0</v>
      </c>
      <c r="J265" s="5" t="s">
        <v>314</v>
      </c>
      <c r="K265" s="6">
        <v>174319.55</v>
      </c>
      <c r="L265" s="83">
        <f>VLOOKUP(F265, [4]Export1!$B$9:$H$237,7,FALSE)</f>
        <v>211970.46</v>
      </c>
      <c r="M265" s="103">
        <f t="shared" si="4"/>
        <v>-37650.910000000003</v>
      </c>
    </row>
    <row r="266" spans="1:13" ht="13.5" customHeight="1" x14ac:dyDescent="0.2">
      <c r="A266" s="1">
        <v>277</v>
      </c>
      <c r="B266" s="1">
        <v>5</v>
      </c>
      <c r="C266" s="1">
        <v>60</v>
      </c>
      <c r="D266" s="1">
        <v>67</v>
      </c>
      <c r="E266" s="1" t="s">
        <v>314</v>
      </c>
      <c r="F266" s="88" t="s">
        <v>570</v>
      </c>
      <c r="G266" s="88">
        <v>60</v>
      </c>
      <c r="H266" s="88">
        <v>6530</v>
      </c>
      <c r="I266" s="5">
        <v>0</v>
      </c>
      <c r="J266" s="5" t="s">
        <v>580</v>
      </c>
      <c r="K266" s="6"/>
      <c r="L266" s="83">
        <f>VLOOKUP(F266, [4]Export1!$B$9:$H$237,7,FALSE)</f>
        <v>114.4</v>
      </c>
      <c r="M266" s="103">
        <f t="shared" si="4"/>
        <v>-114.4</v>
      </c>
    </row>
    <row r="267" spans="1:13" ht="13.5" customHeight="1" x14ac:dyDescent="0.2">
      <c r="A267" s="1">
        <v>208</v>
      </c>
      <c r="B267" s="1">
        <v>5</v>
      </c>
      <c r="C267" s="1">
        <v>35</v>
      </c>
      <c r="D267" s="1">
        <v>53</v>
      </c>
      <c r="E267" s="1" t="s">
        <v>165</v>
      </c>
      <c r="F267" s="5" t="s">
        <v>166</v>
      </c>
      <c r="G267" s="5">
        <v>35</v>
      </c>
      <c r="H267" s="5">
        <v>6540</v>
      </c>
      <c r="I267" s="5">
        <v>0</v>
      </c>
      <c r="J267" s="5" t="s">
        <v>165</v>
      </c>
      <c r="K267" s="6">
        <v>250</v>
      </c>
      <c r="L267" s="83">
        <v>0</v>
      </c>
      <c r="M267" s="103">
        <f t="shared" si="4"/>
        <v>250</v>
      </c>
    </row>
    <row r="268" spans="1:13" ht="13.5" customHeight="1" x14ac:dyDescent="0.2">
      <c r="A268" s="1">
        <v>72</v>
      </c>
      <c r="B268" s="1">
        <v>5</v>
      </c>
      <c r="C268" s="1">
        <v>80</v>
      </c>
      <c r="D268" s="1">
        <v>73</v>
      </c>
      <c r="E268" s="1" t="s">
        <v>547</v>
      </c>
      <c r="F268" s="5" t="s">
        <v>240</v>
      </c>
      <c r="G268" s="5">
        <v>5</v>
      </c>
      <c r="H268" s="5">
        <v>6560</v>
      </c>
      <c r="I268" s="5">
        <v>0</v>
      </c>
      <c r="J268" s="5" t="s">
        <v>241</v>
      </c>
      <c r="K268" s="6">
        <v>43576</v>
      </c>
      <c r="L268" s="83">
        <v>0</v>
      </c>
      <c r="M268" s="103">
        <f t="shared" si="4"/>
        <v>43576</v>
      </c>
    </row>
    <row r="269" spans="1:13" ht="13.5" customHeight="1" x14ac:dyDescent="0.2">
      <c r="A269" s="1">
        <v>114</v>
      </c>
      <c r="B269" s="1">
        <v>5</v>
      </c>
      <c r="C269" s="1">
        <v>10</v>
      </c>
      <c r="D269" s="1">
        <v>68</v>
      </c>
      <c r="E269" s="1" t="s">
        <v>557</v>
      </c>
      <c r="F269" s="5" t="s">
        <v>217</v>
      </c>
      <c r="G269" s="5">
        <v>10</v>
      </c>
      <c r="H269" s="5">
        <v>6600</v>
      </c>
      <c r="I269" s="5">
        <v>0</v>
      </c>
      <c r="J269" s="5" t="s">
        <v>218</v>
      </c>
      <c r="K269" s="6">
        <v>25392.17</v>
      </c>
      <c r="L269" s="83">
        <f>VLOOKUP(F269, [4]Export1!$B$9:$H$237,7,FALSE)</f>
        <v>20721</v>
      </c>
      <c r="M269" s="103">
        <f t="shared" si="4"/>
        <v>4671.1699999999983</v>
      </c>
    </row>
    <row r="270" spans="1:13" ht="13.5" customHeight="1" x14ac:dyDescent="0.2">
      <c r="A270" s="1">
        <v>115</v>
      </c>
      <c r="B270" s="1">
        <v>5</v>
      </c>
      <c r="C270" s="1">
        <v>10</v>
      </c>
      <c r="D270" s="1">
        <v>74</v>
      </c>
      <c r="E270" s="1" t="s">
        <v>362</v>
      </c>
      <c r="F270" s="5" t="s">
        <v>363</v>
      </c>
      <c r="G270" s="5">
        <v>10</v>
      </c>
      <c r="H270" s="5">
        <v>6700</v>
      </c>
      <c r="I270" s="5">
        <v>0</v>
      </c>
      <c r="J270" s="5" t="s">
        <v>362</v>
      </c>
      <c r="K270" s="6">
        <v>452.94</v>
      </c>
      <c r="L270" s="83">
        <v>0</v>
      </c>
      <c r="M270" s="103">
        <f t="shared" si="4"/>
        <v>452.94</v>
      </c>
    </row>
    <row r="271" spans="1:13" ht="13.5" customHeight="1" x14ac:dyDescent="0.2">
      <c r="A271" s="1">
        <v>116</v>
      </c>
      <c r="B271" s="1">
        <v>5</v>
      </c>
      <c r="C271" s="1">
        <v>10</v>
      </c>
      <c r="D271" s="1">
        <v>69</v>
      </c>
      <c r="E271" s="1" t="s">
        <v>544</v>
      </c>
      <c r="F271" s="5" t="s">
        <v>137</v>
      </c>
      <c r="G271" s="5">
        <v>10</v>
      </c>
      <c r="H271" s="5">
        <v>6710</v>
      </c>
      <c r="I271" s="5">
        <v>0</v>
      </c>
      <c r="J271" s="5" t="s">
        <v>138</v>
      </c>
      <c r="K271" s="6">
        <v>1208</v>
      </c>
      <c r="L271" s="83">
        <f>VLOOKUP(F271, [4]Export1!$B$9:$H$237,7,FALSE)</f>
        <v>1426.46</v>
      </c>
      <c r="M271" s="103">
        <f t="shared" si="4"/>
        <v>-218.46000000000004</v>
      </c>
    </row>
    <row r="272" spans="1:13" ht="13.5" customHeight="1" x14ac:dyDescent="0.2">
      <c r="A272" s="1">
        <v>117</v>
      </c>
      <c r="B272" s="1">
        <v>5</v>
      </c>
      <c r="C272" s="1">
        <v>10</v>
      </c>
      <c r="D272" s="1">
        <v>72</v>
      </c>
      <c r="E272" s="1" t="s">
        <v>510</v>
      </c>
      <c r="F272" s="5" t="s">
        <v>187</v>
      </c>
      <c r="G272" s="5">
        <v>10</v>
      </c>
      <c r="H272" s="5">
        <v>6810</v>
      </c>
      <c r="I272" s="5">
        <v>0</v>
      </c>
      <c r="J272" s="5" t="s">
        <v>188</v>
      </c>
      <c r="K272" s="6">
        <v>35146.47</v>
      </c>
      <c r="L272" s="83">
        <f>VLOOKUP(F272, [4]Export1!$B$9:$H$237,7,FALSE)</f>
        <v>5289.78</v>
      </c>
      <c r="M272" s="103">
        <f t="shared" si="4"/>
        <v>29856.690000000002</v>
      </c>
    </row>
    <row r="273" spans="1:13" ht="13.5" customHeight="1" x14ac:dyDescent="0.2">
      <c r="A273" s="1">
        <v>118</v>
      </c>
      <c r="B273" s="1">
        <v>5</v>
      </c>
      <c r="C273" s="1">
        <v>10</v>
      </c>
      <c r="D273" s="1">
        <v>72</v>
      </c>
      <c r="E273" s="1" t="s">
        <v>510</v>
      </c>
      <c r="F273" s="5" t="s">
        <v>181</v>
      </c>
      <c r="G273" s="5">
        <v>10</v>
      </c>
      <c r="H273" s="5">
        <v>6820</v>
      </c>
      <c r="I273" s="5">
        <v>0</v>
      </c>
      <c r="J273" s="5" t="s">
        <v>182</v>
      </c>
      <c r="K273" s="6">
        <v>2602.54</v>
      </c>
      <c r="L273" s="83">
        <f>VLOOKUP(F273, [4]Export1!$B$9:$H$237,7,FALSE)</f>
        <v>1174.5999999999999</v>
      </c>
      <c r="M273" s="103">
        <f t="shared" si="4"/>
        <v>1427.94</v>
      </c>
    </row>
    <row r="274" spans="1:13" ht="13.5" customHeight="1" x14ac:dyDescent="0.2">
      <c r="A274" s="1">
        <v>119</v>
      </c>
      <c r="B274" s="1">
        <v>5</v>
      </c>
      <c r="C274" s="1">
        <v>10</v>
      </c>
      <c r="D274" s="1">
        <v>72</v>
      </c>
      <c r="E274" s="1" t="s">
        <v>510</v>
      </c>
      <c r="F274" s="5" t="s">
        <v>183</v>
      </c>
      <c r="G274" s="5">
        <v>10</v>
      </c>
      <c r="H274" s="5">
        <v>6830</v>
      </c>
      <c r="I274" s="5">
        <v>0</v>
      </c>
      <c r="J274" s="5" t="s">
        <v>184</v>
      </c>
      <c r="K274" s="6">
        <v>2219.17</v>
      </c>
      <c r="L274" s="83">
        <f>VLOOKUP(F274, [4]Export1!$B$9:$H$237,7,FALSE)</f>
        <v>1974.91</v>
      </c>
      <c r="M274" s="103">
        <f t="shared" si="4"/>
        <v>244.26</v>
      </c>
    </row>
    <row r="275" spans="1:13" ht="13.5" customHeight="1" x14ac:dyDescent="0.2">
      <c r="A275" s="1">
        <v>120</v>
      </c>
      <c r="B275" s="1">
        <v>5</v>
      </c>
      <c r="C275" s="1">
        <v>10</v>
      </c>
      <c r="D275" s="1">
        <v>72</v>
      </c>
      <c r="E275" s="1" t="s">
        <v>510</v>
      </c>
      <c r="F275" s="5" t="s">
        <v>185</v>
      </c>
      <c r="G275" s="5">
        <v>10</v>
      </c>
      <c r="H275" s="5">
        <v>6840</v>
      </c>
      <c r="I275" s="5">
        <v>0</v>
      </c>
      <c r="J275" s="5" t="s">
        <v>186</v>
      </c>
      <c r="K275" s="6">
        <v>1710.31</v>
      </c>
      <c r="L275" s="83">
        <f>VLOOKUP(F275, [4]Export1!$B$9:$H$237,7,FALSE)</f>
        <v>1721.05</v>
      </c>
      <c r="M275" s="103">
        <f t="shared" si="4"/>
        <v>-10.740000000000009</v>
      </c>
    </row>
    <row r="276" spans="1:13" ht="13.5" customHeight="1" x14ac:dyDescent="0.2">
      <c r="A276" s="1">
        <v>121</v>
      </c>
      <c r="B276" s="1">
        <v>5</v>
      </c>
      <c r="C276" s="1">
        <v>10</v>
      </c>
      <c r="D276" s="1">
        <v>69</v>
      </c>
      <c r="E276" s="1" t="s">
        <v>544</v>
      </c>
      <c r="F276" s="5" t="s">
        <v>275</v>
      </c>
      <c r="G276" s="5">
        <v>10</v>
      </c>
      <c r="H276" s="5">
        <v>6900</v>
      </c>
      <c r="I276" s="5">
        <v>0</v>
      </c>
      <c r="J276" s="5" t="s">
        <v>276</v>
      </c>
      <c r="K276" s="6">
        <v>3718.62</v>
      </c>
      <c r="L276" s="83">
        <v>0</v>
      </c>
      <c r="M276" s="103">
        <f t="shared" si="4"/>
        <v>3718.62</v>
      </c>
    </row>
    <row r="277" spans="1:13" ht="13.5" customHeight="1" x14ac:dyDescent="0.2">
      <c r="A277" s="1">
        <v>122</v>
      </c>
      <c r="B277" s="1">
        <v>5</v>
      </c>
      <c r="C277" s="1">
        <v>11</v>
      </c>
      <c r="D277" s="1">
        <v>59</v>
      </c>
      <c r="E277" s="1" t="s">
        <v>558</v>
      </c>
      <c r="F277" s="5" t="s">
        <v>321</v>
      </c>
      <c r="G277" s="5">
        <v>10</v>
      </c>
      <c r="H277" s="5">
        <v>6950</v>
      </c>
      <c r="I277" s="5">
        <v>0</v>
      </c>
      <c r="J277" s="5" t="s">
        <v>322</v>
      </c>
      <c r="K277" s="6">
        <v>500</v>
      </c>
      <c r="L277" s="83">
        <v>0</v>
      </c>
      <c r="M277" s="103">
        <f t="shared" si="4"/>
        <v>500</v>
      </c>
    </row>
    <row r="278" spans="1:13" ht="13.5" customHeight="1" x14ac:dyDescent="0.2">
      <c r="A278" s="1">
        <v>123</v>
      </c>
      <c r="B278" s="1">
        <v>5</v>
      </c>
      <c r="C278" s="1">
        <v>11</v>
      </c>
      <c r="D278" s="1">
        <v>59</v>
      </c>
      <c r="E278" s="1" t="s">
        <v>558</v>
      </c>
      <c r="F278" s="5" t="s">
        <v>167</v>
      </c>
      <c r="G278" s="5">
        <v>10</v>
      </c>
      <c r="H278" s="5">
        <v>7000</v>
      </c>
      <c r="I278" s="5">
        <v>0</v>
      </c>
      <c r="J278" s="5" t="s">
        <v>168</v>
      </c>
      <c r="K278" s="6">
        <v>115367.39</v>
      </c>
      <c r="L278" s="83">
        <v>0</v>
      </c>
      <c r="M278" s="103">
        <f t="shared" si="4"/>
        <v>115367.39</v>
      </c>
    </row>
    <row r="279" spans="1:13" ht="13.5" customHeight="1" x14ac:dyDescent="0.2">
      <c r="A279" s="1">
        <v>130</v>
      </c>
      <c r="B279" s="1">
        <v>5</v>
      </c>
      <c r="C279" s="1">
        <v>11</v>
      </c>
      <c r="D279" s="1">
        <v>59</v>
      </c>
      <c r="E279" s="1" t="s">
        <v>558</v>
      </c>
      <c r="F279" s="5" t="s">
        <v>369</v>
      </c>
      <c r="G279" s="5">
        <v>11</v>
      </c>
      <c r="H279" s="5">
        <v>7000</v>
      </c>
      <c r="I279" s="5">
        <v>0</v>
      </c>
      <c r="J279" s="5" t="s">
        <v>370</v>
      </c>
      <c r="K279" s="6"/>
      <c r="L279" s="83">
        <f>VLOOKUP(F279, [4]Export1!$B$9:$H$237,7,FALSE)</f>
        <v>101202.16</v>
      </c>
      <c r="M279" s="103">
        <f t="shared" si="4"/>
        <v>-101202.16</v>
      </c>
    </row>
    <row r="280" spans="1:13" ht="13.5" customHeight="1" x14ac:dyDescent="0.2">
      <c r="A280" s="1">
        <v>124</v>
      </c>
      <c r="B280" s="1">
        <v>5</v>
      </c>
      <c r="C280" s="1">
        <v>11</v>
      </c>
      <c r="D280" s="1">
        <v>59</v>
      </c>
      <c r="E280" s="1" t="s">
        <v>558</v>
      </c>
      <c r="F280" s="5" t="s">
        <v>169</v>
      </c>
      <c r="G280" s="5">
        <v>10</v>
      </c>
      <c r="H280" s="5">
        <v>7010</v>
      </c>
      <c r="I280" s="5">
        <v>0</v>
      </c>
      <c r="J280" s="5" t="s">
        <v>89</v>
      </c>
      <c r="K280" s="6">
        <v>2625</v>
      </c>
      <c r="L280" s="83">
        <v>0</v>
      </c>
      <c r="M280" s="103">
        <f t="shared" si="4"/>
        <v>2625</v>
      </c>
    </row>
    <row r="281" spans="1:13" ht="13.5" customHeight="1" x14ac:dyDescent="0.2">
      <c r="A281" s="1">
        <v>125</v>
      </c>
      <c r="B281" s="1">
        <v>5</v>
      </c>
      <c r="C281" s="1">
        <v>11</v>
      </c>
      <c r="D281" s="1">
        <v>59</v>
      </c>
      <c r="E281" s="1" t="s">
        <v>558</v>
      </c>
      <c r="F281" s="5" t="s">
        <v>406</v>
      </c>
      <c r="G281" s="5">
        <v>10</v>
      </c>
      <c r="H281" s="5">
        <v>7040</v>
      </c>
      <c r="I281" s="5">
        <v>0</v>
      </c>
      <c r="J281" s="5" t="s">
        <v>407</v>
      </c>
      <c r="K281" s="6"/>
      <c r="L281" s="83">
        <v>0</v>
      </c>
      <c r="M281" s="103">
        <f t="shared" si="4"/>
        <v>0</v>
      </c>
    </row>
    <row r="282" spans="1:13" ht="13.5" customHeight="1" x14ac:dyDescent="0.2">
      <c r="A282" s="1">
        <v>126</v>
      </c>
      <c r="B282" s="1">
        <v>5</v>
      </c>
      <c r="C282" s="1">
        <v>10</v>
      </c>
      <c r="D282" s="1">
        <v>75</v>
      </c>
      <c r="E282" s="1" t="s">
        <v>584</v>
      </c>
      <c r="F282" s="88" t="s">
        <v>567</v>
      </c>
      <c r="G282" s="88">
        <v>10</v>
      </c>
      <c r="H282" s="88">
        <v>8600</v>
      </c>
      <c r="I282" s="5">
        <v>0</v>
      </c>
      <c r="J282" s="5" t="s">
        <v>577</v>
      </c>
      <c r="K282" s="6"/>
      <c r="L282" s="83">
        <f>VLOOKUP(F282, [4]Export1!$B$9:$H$237,7,FALSE)</f>
        <v>70000</v>
      </c>
      <c r="M282" s="103">
        <f t="shared" si="4"/>
        <v>-70000</v>
      </c>
    </row>
    <row r="283" spans="1:13" ht="13.5" customHeight="1" x14ac:dyDescent="0.2">
      <c r="A283" s="1">
        <v>181</v>
      </c>
      <c r="B283" s="1">
        <v>1</v>
      </c>
      <c r="C283" s="1">
        <v>25</v>
      </c>
      <c r="D283" s="1">
        <v>15</v>
      </c>
      <c r="E283" s="1" t="s">
        <v>559</v>
      </c>
      <c r="F283" s="5" t="s">
        <v>415</v>
      </c>
      <c r="G283" s="5">
        <v>25</v>
      </c>
      <c r="H283" s="5">
        <v>9999</v>
      </c>
      <c r="I283" s="5">
        <v>0</v>
      </c>
      <c r="J283" s="5" t="s">
        <v>416</v>
      </c>
      <c r="K283" s="6"/>
      <c r="L283" s="83">
        <v>0</v>
      </c>
      <c r="M283" s="103">
        <f t="shared" si="4"/>
        <v>0</v>
      </c>
    </row>
    <row r="284" spans="1:13" ht="13.5" customHeight="1" x14ac:dyDescent="0.2">
      <c r="A284" s="1">
        <v>36</v>
      </c>
      <c r="B284" s="1">
        <v>3</v>
      </c>
      <c r="C284" s="1">
        <v>0</v>
      </c>
      <c r="D284" s="1">
        <v>30</v>
      </c>
      <c r="E284" s="1" t="s">
        <v>76</v>
      </c>
      <c r="F284" t="s">
        <v>605</v>
      </c>
      <c r="G284" s="5">
        <v>0</v>
      </c>
      <c r="H284" s="5" t="s">
        <v>606</v>
      </c>
      <c r="I284" s="5">
        <v>0</v>
      </c>
      <c r="J284" t="s">
        <v>607</v>
      </c>
      <c r="K284" s="6"/>
      <c r="L284" s="83">
        <f>VLOOKUP(F284, [4]Export1!$B$9:$H$237,7,FALSE)</f>
        <v>-70000</v>
      </c>
      <c r="M284" s="103">
        <f t="shared" si="4"/>
        <v>70000</v>
      </c>
    </row>
    <row r="285" spans="1:13" ht="13.5" customHeight="1" x14ac:dyDescent="0.2">
      <c r="A285" s="1">
        <v>183</v>
      </c>
      <c r="B285" s="1">
        <v>4</v>
      </c>
      <c r="C285" s="1">
        <v>35</v>
      </c>
      <c r="D285" s="1">
        <v>45</v>
      </c>
      <c r="E285" s="1" t="s">
        <v>83</v>
      </c>
      <c r="F285" t="s">
        <v>609</v>
      </c>
      <c r="G285" s="5" t="s">
        <v>615</v>
      </c>
      <c r="H285" s="5" t="s">
        <v>618</v>
      </c>
      <c r="I285" s="5">
        <v>0</v>
      </c>
      <c r="J285" t="s">
        <v>613</v>
      </c>
      <c r="K285" s="6"/>
      <c r="L285" s="83">
        <f>VLOOKUP(F285, [4]Export1!$B$9:$H$237,7,FALSE)</f>
        <v>-2195</v>
      </c>
      <c r="M285" s="103">
        <f t="shared" si="4"/>
        <v>2195</v>
      </c>
    </row>
    <row r="286" spans="1:13" ht="13.5" customHeight="1" x14ac:dyDescent="0.2">
      <c r="A286" s="1">
        <v>272</v>
      </c>
      <c r="B286" s="1">
        <v>5</v>
      </c>
      <c r="C286" s="1">
        <v>60</v>
      </c>
      <c r="D286" s="1">
        <v>62</v>
      </c>
      <c r="E286" s="1" t="s">
        <v>548</v>
      </c>
      <c r="F286" t="s">
        <v>612</v>
      </c>
      <c r="G286" s="5" t="s">
        <v>617</v>
      </c>
      <c r="H286" s="5" t="s">
        <v>620</v>
      </c>
      <c r="I286" s="5">
        <v>0</v>
      </c>
      <c r="J286" t="s">
        <v>133</v>
      </c>
      <c r="K286" s="6"/>
      <c r="L286" s="83">
        <f>VLOOKUP(F286, [4]Export1!$B$9:$H$237,7,FALSE)</f>
        <v>100.51</v>
      </c>
      <c r="M286" s="103">
        <f t="shared" si="4"/>
        <v>-100.51</v>
      </c>
    </row>
    <row r="287" spans="1:13" ht="13.5" customHeight="1" x14ac:dyDescent="0.2">
      <c r="A287" s="1">
        <v>209</v>
      </c>
      <c r="B287" s="1">
        <v>5</v>
      </c>
      <c r="C287" s="1">
        <v>35</v>
      </c>
      <c r="D287" s="1">
        <v>62</v>
      </c>
      <c r="E287" s="1" t="s">
        <v>548</v>
      </c>
      <c r="F287" t="s">
        <v>610</v>
      </c>
      <c r="G287" s="5" t="s">
        <v>615</v>
      </c>
      <c r="H287" s="5" t="s">
        <v>619</v>
      </c>
      <c r="I287" s="5">
        <v>0</v>
      </c>
      <c r="J287" t="s">
        <v>614</v>
      </c>
      <c r="K287" s="6"/>
      <c r="L287" s="83">
        <f>VLOOKUP(F287, [4]Export1!$B$9:$H$237,7,FALSE)</f>
        <v>2000</v>
      </c>
      <c r="M287" s="103">
        <f t="shared" si="4"/>
        <v>-2000</v>
      </c>
    </row>
    <row r="288" spans="1:13" ht="13.5" customHeight="1" x14ac:dyDescent="0.2">
      <c r="A288" s="1">
        <v>232</v>
      </c>
      <c r="B288" s="1">
        <v>5</v>
      </c>
      <c r="C288" s="1">
        <v>36</v>
      </c>
      <c r="D288" s="1">
        <v>62</v>
      </c>
      <c r="E288" s="1" t="s">
        <v>548</v>
      </c>
      <c r="F288" t="s">
        <v>611</v>
      </c>
      <c r="G288" s="5" t="s">
        <v>616</v>
      </c>
      <c r="H288" s="5" t="s">
        <v>619</v>
      </c>
      <c r="I288" s="5">
        <v>0</v>
      </c>
      <c r="J288" t="s">
        <v>614</v>
      </c>
      <c r="K288" s="6"/>
      <c r="L288" s="83">
        <f>VLOOKUP(F288, [4]Export1!$B$9:$H$237,7,FALSE)</f>
        <v>343</v>
      </c>
      <c r="M288" s="103">
        <f t="shared" si="4"/>
        <v>-343</v>
      </c>
    </row>
    <row r="289" spans="6:12" ht="13.5" customHeight="1" x14ac:dyDescent="0.2">
      <c r="F289" s="5"/>
      <c r="G289" s="5"/>
      <c r="H289" s="5"/>
      <c r="I289" s="5"/>
      <c r="J289" s="5"/>
      <c r="L289" s="11" t="s">
        <v>364</v>
      </c>
    </row>
    <row r="290" spans="6:12" ht="13.5" customHeight="1" x14ac:dyDescent="0.2">
      <c r="F290" s="5"/>
      <c r="G290" s="5"/>
      <c r="H290" s="5"/>
      <c r="I290" s="5"/>
      <c r="J290" s="5"/>
    </row>
    <row r="291" spans="6:12" ht="13.5" customHeight="1" x14ac:dyDescent="0.2">
      <c r="F291" s="5"/>
      <c r="G291" s="5"/>
      <c r="H291" s="5"/>
      <c r="I291" s="5"/>
      <c r="J291" s="5"/>
    </row>
    <row r="292" spans="6:12" ht="13.5" customHeight="1" x14ac:dyDescent="0.2">
      <c r="K292" s="6" t="s">
        <v>364</v>
      </c>
    </row>
    <row r="293" spans="6:12" ht="13.5" customHeight="1" x14ac:dyDescent="0.2">
      <c r="K293" s="6">
        <f>SUM(K2:K292)</f>
        <v>-1.9354047253727913E-9</v>
      </c>
      <c r="L293" s="6">
        <f>SUM(L2:L292)</f>
        <v>-6.4937921706587076E-10</v>
      </c>
    </row>
  </sheetData>
  <autoFilter ref="A1:AB289">
    <sortState ref="A2:AB289">
      <sortCondition ref="H1:H289"/>
    </sortState>
  </autoFilter>
  <pageMargins left="0.75" right="0.75" top="1" bottom="1" header="0.5" footer="0.5"/>
  <pageSetup scale="45" fitToHeight="0" orientation="portrait" blackAndWhite="1" r:id="rId1"/>
  <headerFooter alignWithMargins="0">
    <oddHeader>&amp;R&amp;D
&amp;T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Net Assets</vt:lpstr>
      <vt:lpstr>Rev &amp; Exp</vt:lpstr>
      <vt:lpstr>CashFlowDIRECT</vt:lpstr>
      <vt:lpstr>CF Worksheet</vt:lpstr>
      <vt:lpstr>PT</vt:lpstr>
      <vt:lpstr>Trial Balance</vt:lpstr>
      <vt:lpstr>CashFlowDIRECT!Print_Area</vt:lpstr>
      <vt:lpstr>'CF Worksheet'!Print_Area</vt:lpstr>
      <vt:lpstr>'Net Assets'!Print_Area</vt:lpstr>
      <vt:lpstr>'Rev &amp; Exp'!Print_Area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MDK</dc:creator>
  <cp:lastModifiedBy>Lee Brown</cp:lastModifiedBy>
  <cp:lastPrinted>2016-02-12T21:18:53Z</cp:lastPrinted>
  <dcterms:created xsi:type="dcterms:W3CDTF">2015-09-28T19:14:18Z</dcterms:created>
  <dcterms:modified xsi:type="dcterms:W3CDTF">2016-03-15T12:19:50Z</dcterms:modified>
</cp:coreProperties>
</file>